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6ef7659165ab1f/Desktop/Mbition_Freelance/Project Files/Geltner Miller CD Contents/Chapter Excel Documents/"/>
    </mc:Choice>
  </mc:AlternateContent>
  <xr:revisionPtr revIDLastSave="1" documentId="11_E761F322902B8CAE246D7325DB597D3269CAC9A8" xr6:coauthVersionLast="46" xr6:coauthVersionMax="46" xr10:uidLastSave="{BC71EB94-ADB7-45A6-8AE1-10E2DAE70919}"/>
  <bookViews>
    <workbookView xWindow="4500" yWindow="615" windowWidth="21885" windowHeight="13305" xr2:uid="{00000000-000D-0000-FFFF-FFFF00000000}"/>
  </bookViews>
  <sheets>
    <sheet name="Intro" sheetId="9" r:id="rId1"/>
    <sheet name="Sect.27.3" sheetId="1" r:id="rId2"/>
    <sheet name="Exhs.27-4&amp;5" sheetId="2" r:id="rId3"/>
    <sheet name="Exhs.CD27-1-8" sheetId="3" r:id="rId4"/>
    <sheet name="Risk-Neutr" sheetId="4" r:id="rId5"/>
    <sheet name="Sam-McK" sheetId="5" r:id="rId6"/>
    <sheet name="Exhs.27-6&amp;7" sheetId="6" r:id="rId7"/>
    <sheet name="Black-Scholes" sheetId="8" r:id="rId8"/>
  </sheets>
  <externalReferences>
    <externalReference r:id="rId9"/>
    <externalReference r:id="rId10"/>
  </externalReferences>
  <definedNames>
    <definedName name="__123Graph_AFSAMMCK" localSheetId="6" hidden="1">'Exhs.27-6&amp;7'!$B$20:$B$185</definedName>
    <definedName name="__123Graph_AFSAMMCK" hidden="1">[1]Charts!$L$10:$L$175</definedName>
    <definedName name="__123Graph_ASAMMCK1" localSheetId="6" hidden="1">'Exhs.27-6&amp;7'!$B$20:$B$185</definedName>
    <definedName name="__123Graph_ASAMMCK1" hidden="1">[1]Charts!$L$10:$L$175</definedName>
    <definedName name="__123Graph_ASAMMCK2" localSheetId="6" hidden="1">'Exhs.27-6&amp;7'!$B$20:$B$185</definedName>
    <definedName name="__123Graph_ASAMMCK2" hidden="1">[1]Charts!$L$10:$L$175</definedName>
    <definedName name="__123Graph_BFSAMMCK" localSheetId="6" hidden="1">'Exhs.27-6&amp;7'!$D$20:$D$185</definedName>
    <definedName name="__123Graph_BFSAMMCK" hidden="1">[1]Charts!$M$10:$M$175</definedName>
    <definedName name="__123Graph_BSAMMCK2" localSheetId="7" hidden="1">[2]Charts!#REF!</definedName>
    <definedName name="__123Graph_BSAMMCK2" localSheetId="6" hidden="1">'Exhs.27-6&amp;7'!#REF!</definedName>
    <definedName name="__123Graph_BSAMMCK2" localSheetId="5" hidden="1">[2]Charts!#REF!</definedName>
    <definedName name="__123Graph_BSAMMCK2" hidden="1">[1]Charts!#REF!</definedName>
    <definedName name="__123Graph_CSAMMCK1" localSheetId="7" hidden="1">[2]Charts!#REF!</definedName>
    <definedName name="__123Graph_CSAMMCK1" localSheetId="6" hidden="1">'Exhs.27-6&amp;7'!$C$20:$C$185</definedName>
    <definedName name="__123Graph_CSAMMCK1" localSheetId="5" hidden="1">[2]Charts!#REF!</definedName>
    <definedName name="__123Graph_CSAMMCK1" hidden="1">[1]Charts!#REF!</definedName>
    <definedName name="__123Graph_CSAMMCK2" localSheetId="6" hidden="1">'Exhs.27-6&amp;7'!$D$20:$D$185</definedName>
    <definedName name="__123Graph_CSAMMCK2" hidden="1">[1]Charts!$M$10:$M$175</definedName>
    <definedName name="__123Graph_DSAMMCK1" localSheetId="6" hidden="1">'Exhs.27-6&amp;7'!$D$20:$D$185</definedName>
    <definedName name="__123Graph_DSAMMCK1" hidden="1">[1]Charts!$M$10:$M$175</definedName>
    <definedName name="__123Graph_XFSAMMCK" localSheetId="6" hidden="1">'Exhs.27-6&amp;7'!$A$20:$A$185</definedName>
    <definedName name="__123Graph_XFSAMMCK" hidden="1">[1]Charts!$K$10:$K$175</definedName>
    <definedName name="__123Graph_XSAMMCK1" localSheetId="6" hidden="1">'Exhs.27-6&amp;7'!$A$20:$A$185</definedName>
    <definedName name="__123Graph_XSAMMCK1" hidden="1">[1]Charts!$K$10:$K$175</definedName>
    <definedName name="__123Graph_XSAMMCK2" localSheetId="6" hidden="1">'Exhs.27-6&amp;7'!$A$20:$A$185</definedName>
    <definedName name="__123Graph_XSAMMCK2" hidden="1">[1]Charts!$K$10:$K$175</definedName>
    <definedName name="ALPH" localSheetId="6">'Exhs.27-6&amp;7'!#REF!</definedName>
    <definedName name="ALPH">#REF!</definedName>
    <definedName name="DA" localSheetId="6">'Exhs.27-6&amp;7'!#REF!</definedName>
    <definedName name="DA">#REF!</definedName>
    <definedName name="DB" localSheetId="6">'Exhs.27-6&amp;7'!#REF!</definedName>
    <definedName name="DB">#REF!</definedName>
    <definedName name="_xlnm.Print_Area" localSheetId="6">'Exhs.27-6&amp;7'!$L$3:$Q$33</definedName>
    <definedName name="S" localSheetId="6">'Exhs.27-6&amp;7'!#REF!</definedName>
    <definedName name="S">#REF!</definedName>
    <definedName name="VSTAR" localSheetId="6">'Exhs.27-6&amp;7'!#REF!</definedName>
    <definedName name="VST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29" i="5" s="1"/>
  <c r="B14" i="5"/>
  <c r="E5" i="5"/>
  <c r="E20" i="5"/>
  <c r="E21" i="5" s="1"/>
  <c r="D9" i="1"/>
  <c r="C22" i="1" s="1"/>
  <c r="P22" i="1" s="1"/>
  <c r="D6" i="1"/>
  <c r="B21" i="1"/>
  <c r="D5" i="1"/>
  <c r="D11" i="1"/>
  <c r="C21" i="1"/>
  <c r="D4" i="1"/>
  <c r="D10" i="1" s="1"/>
  <c r="D7" i="1"/>
  <c r="C31" i="1" s="1"/>
  <c r="B11" i="1"/>
  <c r="B31" i="1"/>
  <c r="C32" i="1"/>
  <c r="B14" i="8"/>
  <c r="B9" i="8"/>
  <c r="B15" i="8"/>
  <c r="C8" i="6"/>
  <c r="B9" i="6"/>
  <c r="D21" i="6" s="1"/>
  <c r="C9" i="6"/>
  <c r="C10" i="6"/>
  <c r="B14" i="6"/>
  <c r="B15" i="6" s="1"/>
  <c r="C14" i="6"/>
  <c r="C15" i="6" s="1"/>
  <c r="D20" i="6"/>
  <c r="A21" i="6"/>
  <c r="A22" i="6"/>
  <c r="D22" i="6"/>
  <c r="A23" i="6"/>
  <c r="A24" i="6"/>
  <c r="A25" i="6" s="1"/>
  <c r="D24" i="6"/>
  <c r="B27" i="5"/>
  <c r="B9" i="4"/>
  <c r="B3" i="3"/>
  <c r="D4" i="3" s="1"/>
  <c r="B3" i="4"/>
  <c r="B6" i="4"/>
  <c r="B10" i="4"/>
  <c r="B21" i="4" s="1"/>
  <c r="B11" i="3"/>
  <c r="B11" i="4" s="1"/>
  <c r="B70" i="4" s="1"/>
  <c r="B25" i="3"/>
  <c r="B75" i="3"/>
  <c r="B4" i="4"/>
  <c r="B5" i="4"/>
  <c r="A39" i="4"/>
  <c r="A40" i="4"/>
  <c r="A41" i="4" s="1"/>
  <c r="A22" i="4"/>
  <c r="A23" i="4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71" i="4"/>
  <c r="A72" i="4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8" i="4"/>
  <c r="A89" i="4"/>
  <c r="A90" i="4"/>
  <c r="A91" i="4" s="1"/>
  <c r="A92" i="4" s="1"/>
  <c r="A93" i="4" s="1"/>
  <c r="A94" i="4" s="1"/>
  <c r="A95" i="4" s="1"/>
  <c r="A96" i="4" s="1"/>
  <c r="A97" i="4" s="1"/>
  <c r="A98" i="4" s="1"/>
  <c r="A99" i="4" s="1"/>
  <c r="A43" i="3"/>
  <c r="A44" i="3" s="1"/>
  <c r="B23" i="3"/>
  <c r="B183" i="3" s="1"/>
  <c r="B201" i="3" s="1"/>
  <c r="B219" i="3" s="1"/>
  <c r="C23" i="3"/>
  <c r="C183" i="3" s="1"/>
  <c r="D23" i="3"/>
  <c r="D183" i="3" s="1"/>
  <c r="D292" i="3" s="1"/>
  <c r="E23" i="3"/>
  <c r="E183" i="3" s="1"/>
  <c r="E201" i="3" s="1"/>
  <c r="E219" i="3" s="1"/>
  <c r="F23" i="3"/>
  <c r="G23" i="3"/>
  <c r="H23" i="3"/>
  <c r="H183" i="3" s="1"/>
  <c r="H292" i="3" s="1"/>
  <c r="I23" i="3"/>
  <c r="I183" i="3" s="1"/>
  <c r="I201" i="3" s="1"/>
  <c r="I219" i="3" s="1"/>
  <c r="J23" i="3"/>
  <c r="K23" i="3"/>
  <c r="L23" i="3"/>
  <c r="M23" i="3"/>
  <c r="M183" i="3" s="1"/>
  <c r="M201" i="3" s="1"/>
  <c r="M219" i="3" s="1"/>
  <c r="A26" i="3"/>
  <c r="A186" i="3" s="1"/>
  <c r="A204" i="3" s="1"/>
  <c r="A222" i="3" s="1"/>
  <c r="A27" i="3"/>
  <c r="A187" i="3" s="1"/>
  <c r="A76" i="3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94" i="3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13" i="3"/>
  <c r="A114" i="3" s="1"/>
  <c r="A115" i="3" s="1"/>
  <c r="A116" i="3" s="1"/>
  <c r="A117" i="3" s="1"/>
  <c r="A118" i="3"/>
  <c r="A119" i="3" s="1"/>
  <c r="A120" i="3" s="1"/>
  <c r="A121" i="3" s="1"/>
  <c r="A122" i="3" s="1"/>
  <c r="A123" i="3" s="1"/>
  <c r="A124" i="3" s="1"/>
  <c r="A131" i="3"/>
  <c r="A132" i="3"/>
  <c r="A133" i="3"/>
  <c r="A134" i="3"/>
  <c r="A135" i="3" s="1"/>
  <c r="A136" i="3" s="1"/>
  <c r="A137" i="3" s="1"/>
  <c r="A138" i="3" s="1"/>
  <c r="A139" i="3" s="1"/>
  <c r="A140" i="3" s="1"/>
  <c r="A141" i="3" s="1"/>
  <c r="A142" i="3" s="1"/>
  <c r="A151" i="3"/>
  <c r="A152" i="3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8" i="3"/>
  <c r="A169" i="3" s="1"/>
  <c r="A170" i="3" s="1"/>
  <c r="A171" i="3" s="1"/>
  <c r="A172" i="3" s="1"/>
  <c r="A173" i="3" s="1"/>
  <c r="A174" i="3" s="1"/>
  <c r="A175" i="3" s="1"/>
  <c r="A176" i="3" s="1"/>
  <c r="A177" i="3"/>
  <c r="A178" i="3" s="1"/>
  <c r="A179" i="3" s="1"/>
  <c r="A183" i="3"/>
  <c r="F183" i="3"/>
  <c r="F292" i="3" s="1"/>
  <c r="G183" i="3"/>
  <c r="G201" i="3" s="1"/>
  <c r="J183" i="3"/>
  <c r="J201" i="3" s="1"/>
  <c r="K183" i="3"/>
  <c r="L183" i="3"/>
  <c r="L201" i="3" s="1"/>
  <c r="L219" i="3" s="1"/>
  <c r="N183" i="3"/>
  <c r="A184" i="3"/>
  <c r="A293" i="3" s="1"/>
  <c r="A185" i="3"/>
  <c r="A201" i="3"/>
  <c r="A219" i="3" s="1"/>
  <c r="H201" i="3"/>
  <c r="H219" i="3" s="1"/>
  <c r="N201" i="3"/>
  <c r="G219" i="3"/>
  <c r="J219" i="3"/>
  <c r="N219" i="3"/>
  <c r="A240" i="3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61" i="3"/>
  <c r="A262" i="3"/>
  <c r="A263" i="3"/>
  <c r="A264" i="3"/>
  <c r="A265" i="3" s="1"/>
  <c r="A266" i="3" s="1"/>
  <c r="A267" i="3" s="1"/>
  <c r="A268" i="3" s="1"/>
  <c r="A269" i="3" s="1"/>
  <c r="A270" i="3" s="1"/>
  <c r="A271" i="3" s="1"/>
  <c r="A272" i="3" s="1"/>
  <c r="A278" i="3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2" i="3"/>
  <c r="B292" i="3"/>
  <c r="E292" i="3"/>
  <c r="G292" i="3"/>
  <c r="I292" i="3"/>
  <c r="J292" i="3"/>
  <c r="M292" i="3"/>
  <c r="N292" i="3"/>
  <c r="B3" i="2"/>
  <c r="D9" i="2" s="1"/>
  <c r="D5" i="2"/>
  <c r="D11" i="2" s="1"/>
  <c r="B35" i="2"/>
  <c r="D7" i="2"/>
  <c r="B11" i="2"/>
  <c r="B84" i="2" s="1"/>
  <c r="D4" i="2"/>
  <c r="A53" i="2"/>
  <c r="G53" i="2" s="1"/>
  <c r="A85" i="2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57" i="2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74" i="2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H23" i="1"/>
  <c r="N22" i="1"/>
  <c r="G4" i="1"/>
  <c r="G5" i="1"/>
  <c r="S22" i="1"/>
  <c r="U22" i="1" s="1"/>
  <c r="D8" i="1"/>
  <c r="A22" i="1"/>
  <c r="A32" i="1"/>
  <c r="A39" i="1"/>
  <c r="A46" i="1"/>
  <c r="F4" i="3" l="1"/>
  <c r="D25" i="6"/>
  <c r="A26" i="6"/>
  <c r="A45" i="3"/>
  <c r="C292" i="3"/>
  <c r="C201" i="3"/>
  <c r="C219" i="3" s="1"/>
  <c r="A28" i="3"/>
  <c r="A295" i="3"/>
  <c r="L53" i="2"/>
  <c r="D5" i="3"/>
  <c r="D23" i="6"/>
  <c r="A296" i="3"/>
  <c r="A205" i="3"/>
  <c r="A223" i="3" s="1"/>
  <c r="B7" i="3"/>
  <c r="D9" i="3"/>
  <c r="D12" i="3" s="1"/>
  <c r="D13" i="3" s="1"/>
  <c r="K53" i="2"/>
  <c r="F201" i="3"/>
  <c r="F219" i="3" s="1"/>
  <c r="D4" i="4"/>
  <c r="D5" i="4" s="1"/>
  <c r="B17" i="6"/>
  <c r="B26" i="6" s="1"/>
  <c r="B18" i="6"/>
  <c r="C85" i="2"/>
  <c r="D6" i="2"/>
  <c r="D8" i="2" s="1"/>
  <c r="E8" i="2" s="1"/>
  <c r="D6" i="4"/>
  <c r="D8" i="4" s="1"/>
  <c r="C53" i="2"/>
  <c r="A54" i="2"/>
  <c r="D53" i="2"/>
  <c r="F53" i="2"/>
  <c r="H53" i="2"/>
  <c r="J53" i="2"/>
  <c r="N52" i="2"/>
  <c r="C52" i="2"/>
  <c r="E52" i="2"/>
  <c r="G52" i="2"/>
  <c r="I52" i="2"/>
  <c r="K52" i="2"/>
  <c r="M52" i="2"/>
  <c r="C19" i="1"/>
  <c r="B24" i="1" s="1"/>
  <c r="C46" i="1" s="1"/>
  <c r="B15" i="5"/>
  <c r="B21" i="5"/>
  <c r="D32" i="5"/>
  <c r="B22" i="5"/>
  <c r="A203" i="3"/>
  <c r="A221" i="3" s="1"/>
  <c r="A294" i="3"/>
  <c r="C84" i="2"/>
  <c r="D86" i="2" s="1"/>
  <c r="C34" i="2"/>
  <c r="D33" i="2" s="1"/>
  <c r="D12" i="2"/>
  <c r="D13" i="2" s="1"/>
  <c r="D35" i="2"/>
  <c r="E36" i="2" s="1"/>
  <c r="C36" i="2"/>
  <c r="D37" i="2" s="1"/>
  <c r="A202" i="3"/>
  <c r="A220" i="3" s="1"/>
  <c r="M53" i="2"/>
  <c r="J52" i="2"/>
  <c r="F52" i="2"/>
  <c r="D52" i="2"/>
  <c r="N53" i="2"/>
  <c r="G6" i="1"/>
  <c r="G7" i="1" s="1"/>
  <c r="B52" i="2"/>
  <c r="B67" i="2" s="1"/>
  <c r="L52" i="2"/>
  <c r="E53" i="2"/>
  <c r="D201" i="3"/>
  <c r="D219" i="3" s="1"/>
  <c r="C39" i="1"/>
  <c r="D10" i="2"/>
  <c r="K201" i="3"/>
  <c r="K219" i="3" s="1"/>
  <c r="K292" i="3"/>
  <c r="A46" i="3"/>
  <c r="H52" i="2"/>
  <c r="N24" i="1"/>
  <c r="I53" i="2"/>
  <c r="A42" i="4"/>
  <c r="L292" i="3"/>
  <c r="B17" i="8"/>
  <c r="B16" i="8"/>
  <c r="C16" i="6"/>
  <c r="C18" i="6"/>
  <c r="C17" i="6"/>
  <c r="D9" i="4"/>
  <c r="C38" i="1"/>
  <c r="M26" i="1" s="1"/>
  <c r="D12" i="1"/>
  <c r="D6" i="3"/>
  <c r="B22" i="6"/>
  <c r="B16" i="6"/>
  <c r="B21" i="6"/>
  <c r="C45" i="1" l="1"/>
  <c r="B45" i="1" s="1"/>
  <c r="D14" i="1" s="1"/>
  <c r="A29" i="3"/>
  <c r="A188" i="3"/>
  <c r="B38" i="1"/>
  <c r="F5" i="3"/>
  <c r="D11" i="3"/>
  <c r="D13" i="1"/>
  <c r="B7" i="4"/>
  <c r="D7" i="4" s="1"/>
  <c r="D7" i="3"/>
  <c r="L45" i="3"/>
  <c r="M45" i="3"/>
  <c r="B25" i="6"/>
  <c r="C67" i="2"/>
  <c r="B20" i="6"/>
  <c r="B24" i="6"/>
  <c r="A27" i="6"/>
  <c r="D26" i="6"/>
  <c r="B23" i="6"/>
  <c r="H5" i="1"/>
  <c r="H4" i="1"/>
  <c r="G10" i="1" s="1"/>
  <c r="H6" i="1"/>
  <c r="E38" i="2"/>
  <c r="C26" i="3"/>
  <c r="D27" i="3" s="1"/>
  <c r="B185" i="3"/>
  <c r="D8" i="3"/>
  <c r="F8" i="3" s="1"/>
  <c r="F6" i="3"/>
  <c r="F37" i="2"/>
  <c r="E34" i="2"/>
  <c r="E68" i="2" s="1"/>
  <c r="B19" i="5"/>
  <c r="B16" i="5"/>
  <c r="B17" i="5"/>
  <c r="X47" i="2"/>
  <c r="F46" i="3"/>
  <c r="A47" i="3"/>
  <c r="H46" i="3"/>
  <c r="I46" i="3"/>
  <c r="L46" i="3"/>
  <c r="M46" i="3"/>
  <c r="K46" i="3"/>
  <c r="J46" i="3"/>
  <c r="C22" i="6"/>
  <c r="C26" i="6"/>
  <c r="C23" i="6"/>
  <c r="C27" i="6"/>
  <c r="C21" i="6"/>
  <c r="C20" i="6"/>
  <c r="C25" i="6"/>
  <c r="C24" i="6"/>
  <c r="A43" i="4"/>
  <c r="X46" i="2"/>
  <c r="B25" i="1"/>
  <c r="D25" i="1"/>
  <c r="N54" i="2"/>
  <c r="E54" i="2"/>
  <c r="E69" i="2" s="1"/>
  <c r="G54" i="2"/>
  <c r="I54" i="2"/>
  <c r="K54" i="2"/>
  <c r="M54" i="2"/>
  <c r="A55" i="2"/>
  <c r="D54" i="2"/>
  <c r="D69" i="2" s="1"/>
  <c r="F54" i="2"/>
  <c r="H54" i="2"/>
  <c r="J54" i="2"/>
  <c r="L54" i="2"/>
  <c r="B18" i="8"/>
  <c r="B19" i="8" s="1"/>
  <c r="E32" i="2"/>
  <c r="D85" i="2"/>
  <c r="S24" i="1"/>
  <c r="J25" i="1" s="1"/>
  <c r="C22" i="4"/>
  <c r="D23" i="4" s="1"/>
  <c r="E24" i="4" s="1"/>
  <c r="F25" i="4" s="1"/>
  <c r="G26" i="4" s="1"/>
  <c r="H27" i="4" s="1"/>
  <c r="I28" i="4" s="1"/>
  <c r="J29" i="4" s="1"/>
  <c r="K30" i="4" s="1"/>
  <c r="L31" i="4" s="1"/>
  <c r="M32" i="4" s="1"/>
  <c r="N33" i="4" s="1"/>
  <c r="D12" i="4"/>
  <c r="D13" i="4" s="1"/>
  <c r="C21" i="4"/>
  <c r="D21" i="4" s="1"/>
  <c r="E22" i="4" s="1"/>
  <c r="F23" i="4" s="1"/>
  <c r="G24" i="4" s="1"/>
  <c r="H25" i="4" s="1"/>
  <c r="I26" i="4" s="1"/>
  <c r="J27" i="4" s="1"/>
  <c r="K28" i="4" s="1"/>
  <c r="L29" i="4" s="1"/>
  <c r="M30" i="4" s="1"/>
  <c r="N31" i="4" s="1"/>
  <c r="D11" i="4"/>
  <c r="H42" i="4" s="1"/>
  <c r="D68" i="2"/>
  <c r="D84" i="2"/>
  <c r="C25" i="3"/>
  <c r="D25" i="3" s="1"/>
  <c r="D67" i="2"/>
  <c r="E67" i="2"/>
  <c r="C68" i="2"/>
  <c r="C18" i="2" s="1"/>
  <c r="C76" i="3" l="1"/>
  <c r="F7" i="3"/>
  <c r="D10" i="3"/>
  <c r="B203" i="3" s="1"/>
  <c r="C75" i="3"/>
  <c r="D75" i="3"/>
  <c r="C70" i="4"/>
  <c r="C71" i="4"/>
  <c r="G42" i="3"/>
  <c r="J42" i="3"/>
  <c r="C42" i="3"/>
  <c r="C57" i="3" s="1"/>
  <c r="C20" i="3" s="1"/>
  <c r="J43" i="3"/>
  <c r="J44" i="3"/>
  <c r="F44" i="3"/>
  <c r="D42" i="3"/>
  <c r="D57" i="3" s="1"/>
  <c r="L44" i="3"/>
  <c r="M43" i="3"/>
  <c r="E45" i="3"/>
  <c r="D44" i="3"/>
  <c r="N42" i="3"/>
  <c r="Y13" i="3" s="1"/>
  <c r="E44" i="3"/>
  <c r="M44" i="3"/>
  <c r="G45" i="3"/>
  <c r="F43" i="3"/>
  <c r="N43" i="3"/>
  <c r="Y12" i="3" s="1"/>
  <c r="J45" i="3"/>
  <c r="N45" i="3"/>
  <c r="Y10" i="3" s="1"/>
  <c r="H44" i="3"/>
  <c r="K43" i="3"/>
  <c r="L42" i="3"/>
  <c r="K44" i="3"/>
  <c r="K42" i="3"/>
  <c r="B42" i="3"/>
  <c r="B57" i="3" s="1"/>
  <c r="L43" i="3"/>
  <c r="E42" i="3"/>
  <c r="N44" i="3"/>
  <c r="Y11" i="3" s="1"/>
  <c r="G43" i="3"/>
  <c r="D43" i="3"/>
  <c r="K45" i="3"/>
  <c r="C43" i="3"/>
  <c r="E43" i="3"/>
  <c r="I43" i="3"/>
  <c r="M42" i="3"/>
  <c r="F45" i="3"/>
  <c r="H42" i="3"/>
  <c r="H43" i="3"/>
  <c r="I42" i="3"/>
  <c r="F42" i="3"/>
  <c r="H45" i="3"/>
  <c r="I44" i="3"/>
  <c r="G44" i="3"/>
  <c r="I45" i="3"/>
  <c r="D77" i="3"/>
  <c r="D205" i="3" s="1"/>
  <c r="B27" i="6"/>
  <c r="D27" i="6"/>
  <c r="A28" i="6"/>
  <c r="G46" i="3"/>
  <c r="E78" i="3"/>
  <c r="E206" i="3" s="1"/>
  <c r="A297" i="3"/>
  <c r="A206" i="3"/>
  <c r="A224" i="3" s="1"/>
  <c r="N46" i="3"/>
  <c r="E75" i="3"/>
  <c r="A30" i="3"/>
  <c r="A189" i="3"/>
  <c r="D26" i="3"/>
  <c r="D22" i="4"/>
  <c r="E23" i="4" s="1"/>
  <c r="F24" i="4" s="1"/>
  <c r="G25" i="4" s="1"/>
  <c r="H26" i="4" s="1"/>
  <c r="I27" i="4" s="1"/>
  <c r="J28" i="4" s="1"/>
  <c r="K29" i="4" s="1"/>
  <c r="L30" i="4" s="1"/>
  <c r="M31" i="4" s="1"/>
  <c r="N32" i="4" s="1"/>
  <c r="N42" i="4"/>
  <c r="X24" i="4" s="1"/>
  <c r="I42" i="4"/>
  <c r="W22" i="4"/>
  <c r="W21" i="4"/>
  <c r="D187" i="3"/>
  <c r="D59" i="3"/>
  <c r="E28" i="3"/>
  <c r="H57" i="4"/>
  <c r="D185" i="3"/>
  <c r="E25" i="3"/>
  <c r="E26" i="3"/>
  <c r="W20" i="4"/>
  <c r="D186" i="3"/>
  <c r="E87" i="2"/>
  <c r="E84" i="2"/>
  <c r="E86" i="2"/>
  <c r="E85" i="2"/>
  <c r="X45" i="2"/>
  <c r="N55" i="2"/>
  <c r="F55" i="2"/>
  <c r="F70" i="2" s="1"/>
  <c r="H55" i="2"/>
  <c r="J55" i="2"/>
  <c r="A56" i="2"/>
  <c r="I55" i="2"/>
  <c r="M55" i="2"/>
  <c r="K55" i="2"/>
  <c r="L55" i="2"/>
  <c r="G55" i="2"/>
  <c r="E55" i="2"/>
  <c r="E70" i="2" s="1"/>
  <c r="E18" i="2" s="1"/>
  <c r="G38" i="2"/>
  <c r="F39" i="2"/>
  <c r="H7" i="1"/>
  <c r="G9" i="1" s="1"/>
  <c r="G11" i="1"/>
  <c r="D18" i="2"/>
  <c r="D58" i="3"/>
  <c r="L42" i="4"/>
  <c r="F42" i="4"/>
  <c r="F57" i="4" s="1"/>
  <c r="C58" i="3"/>
  <c r="J42" i="4"/>
  <c r="E27" i="3"/>
  <c r="A48" i="3"/>
  <c r="J47" i="3"/>
  <c r="K47" i="3"/>
  <c r="N47" i="3"/>
  <c r="G47" i="3"/>
  <c r="L47" i="3"/>
  <c r="M47" i="3"/>
  <c r="H47" i="3"/>
  <c r="I47" i="3"/>
  <c r="F35" i="2"/>
  <c r="D38" i="4"/>
  <c r="D53" i="4" s="1"/>
  <c r="E38" i="4"/>
  <c r="E40" i="4"/>
  <c r="E55" i="4" s="1"/>
  <c r="F39" i="4"/>
  <c r="G39" i="4"/>
  <c r="H38" i="4"/>
  <c r="H40" i="4"/>
  <c r="I38" i="4"/>
  <c r="I40" i="4"/>
  <c r="J39" i="4"/>
  <c r="K39" i="4"/>
  <c r="L38" i="4"/>
  <c r="L40" i="4"/>
  <c r="M38" i="4"/>
  <c r="M40" i="4"/>
  <c r="N39" i="4"/>
  <c r="C39" i="4"/>
  <c r="C54" i="4" s="1"/>
  <c r="E39" i="4"/>
  <c r="E54" i="4" s="1"/>
  <c r="F38" i="4"/>
  <c r="G40" i="4"/>
  <c r="K40" i="4"/>
  <c r="D40" i="4"/>
  <c r="D55" i="4" s="1"/>
  <c r="J40" i="4"/>
  <c r="K38" i="4"/>
  <c r="M39" i="4"/>
  <c r="B38" i="4"/>
  <c r="B53" i="4" s="1"/>
  <c r="L39" i="4"/>
  <c r="D39" i="4"/>
  <c r="D54" i="4" s="1"/>
  <c r="G38" i="4"/>
  <c r="H39" i="4"/>
  <c r="I39" i="4"/>
  <c r="L41" i="4"/>
  <c r="N40" i="4"/>
  <c r="N38" i="4"/>
  <c r="F40" i="4"/>
  <c r="F55" i="4" s="1"/>
  <c r="J38" i="4"/>
  <c r="C38" i="4"/>
  <c r="C53" i="4" s="1"/>
  <c r="F41" i="4"/>
  <c r="F56" i="4" s="1"/>
  <c r="N41" i="4"/>
  <c r="I41" i="4"/>
  <c r="E41" i="4"/>
  <c r="E56" i="4" s="1"/>
  <c r="M41" i="4"/>
  <c r="J41" i="4"/>
  <c r="G41" i="4"/>
  <c r="G56" i="4" s="1"/>
  <c r="K41" i="4"/>
  <c r="H41" i="4"/>
  <c r="C186" i="3"/>
  <c r="C185" i="3"/>
  <c r="F33" i="2"/>
  <c r="F31" i="2"/>
  <c r="A44" i="4"/>
  <c r="J43" i="4"/>
  <c r="K43" i="4"/>
  <c r="N43" i="4"/>
  <c r="I43" i="4"/>
  <c r="I58" i="4" s="1"/>
  <c r="L43" i="4"/>
  <c r="G43" i="4"/>
  <c r="G58" i="4" s="1"/>
  <c r="M43" i="4"/>
  <c r="H43" i="4"/>
  <c r="H58" i="4" s="1"/>
  <c r="Y9" i="3"/>
  <c r="F78" i="3"/>
  <c r="F206" i="3" s="1"/>
  <c r="F79" i="3"/>
  <c r="F207" i="3" s="1"/>
  <c r="E203" i="3"/>
  <c r="F77" i="3"/>
  <c r="F205" i="3" s="1"/>
  <c r="F76" i="3"/>
  <c r="F204" i="3" s="1"/>
  <c r="F75" i="3"/>
  <c r="B20" i="5"/>
  <c r="B26" i="5"/>
  <c r="B28" i="5" s="1"/>
  <c r="B18" i="5"/>
  <c r="G42" i="4"/>
  <c r="G57" i="4" s="1"/>
  <c r="E21" i="4"/>
  <c r="K42" i="4"/>
  <c r="M42" i="4"/>
  <c r="B28" i="6" l="1"/>
  <c r="D28" i="6"/>
  <c r="A29" i="6"/>
  <c r="C28" i="6"/>
  <c r="D70" i="4"/>
  <c r="D72" i="4"/>
  <c r="D71" i="4"/>
  <c r="C19" i="4"/>
  <c r="E77" i="3"/>
  <c r="E205" i="3" s="1"/>
  <c r="E76" i="3"/>
  <c r="E204" i="3" s="1"/>
  <c r="D203" i="3"/>
  <c r="C203" i="3"/>
  <c r="D76" i="3"/>
  <c r="D204" i="3" s="1"/>
  <c r="A207" i="3"/>
  <c r="A225" i="3" s="1"/>
  <c r="A298" i="3"/>
  <c r="A190" i="3"/>
  <c r="A31" i="3"/>
  <c r="C204" i="3"/>
  <c r="E53" i="4"/>
  <c r="E19" i="4" s="1"/>
  <c r="D19" i="4"/>
  <c r="X22" i="4"/>
  <c r="Y8" i="3"/>
  <c r="E187" i="3"/>
  <c r="F28" i="3"/>
  <c r="E59" i="3"/>
  <c r="E186" i="3"/>
  <c r="E58" i="3"/>
  <c r="F27" i="3"/>
  <c r="X25" i="4"/>
  <c r="F21" i="4"/>
  <c r="F53" i="4" s="1"/>
  <c r="F22" i="4"/>
  <c r="G23" i="4" s="1"/>
  <c r="H24" i="4" s="1"/>
  <c r="I25" i="4" s="1"/>
  <c r="G30" i="2"/>
  <c r="G32" i="2"/>
  <c r="F67" i="2"/>
  <c r="X21" i="4"/>
  <c r="G36" i="2"/>
  <c r="G70" i="2" s="1"/>
  <c r="G40" i="2"/>
  <c r="F69" i="2"/>
  <c r="D20" i="3"/>
  <c r="B31" i="5"/>
  <c r="B30" i="5"/>
  <c r="D36" i="5"/>
  <c r="X20" i="4"/>
  <c r="I48" i="3"/>
  <c r="L48" i="3"/>
  <c r="M48" i="3"/>
  <c r="H48" i="3"/>
  <c r="A49" i="3"/>
  <c r="J48" i="3"/>
  <c r="K48" i="3"/>
  <c r="N48" i="3"/>
  <c r="H39" i="2"/>
  <c r="A57" i="2"/>
  <c r="G56" i="2"/>
  <c r="G71" i="2" s="1"/>
  <c r="I56" i="2"/>
  <c r="K56" i="2"/>
  <c r="M56" i="2"/>
  <c r="F56" i="2"/>
  <c r="F71" i="2" s="1"/>
  <c r="J56" i="2"/>
  <c r="L56" i="2"/>
  <c r="N56" i="2"/>
  <c r="H56" i="2"/>
  <c r="X44" i="2"/>
  <c r="G76" i="3"/>
  <c r="G204" i="3" s="1"/>
  <c r="G80" i="3"/>
  <c r="G208" i="3" s="1"/>
  <c r="F203" i="3"/>
  <c r="G77" i="3"/>
  <c r="G205" i="3" s="1"/>
  <c r="G79" i="3"/>
  <c r="G207" i="3" s="1"/>
  <c r="G78" i="3"/>
  <c r="G206" i="3" s="1"/>
  <c r="G75" i="3"/>
  <c r="I44" i="4"/>
  <c r="I59" i="4" s="1"/>
  <c r="L44" i="4"/>
  <c r="M44" i="4"/>
  <c r="N44" i="4"/>
  <c r="H44" i="4"/>
  <c r="H59" i="4" s="1"/>
  <c r="J44" i="4"/>
  <c r="J59" i="4" s="1"/>
  <c r="A45" i="4"/>
  <c r="K44" i="4"/>
  <c r="G34" i="2"/>
  <c r="F68" i="2"/>
  <c r="X23" i="4"/>
  <c r="F85" i="2"/>
  <c r="F87" i="2"/>
  <c r="F84" i="2"/>
  <c r="F88" i="2"/>
  <c r="F86" i="2"/>
  <c r="E185" i="3"/>
  <c r="F26" i="3"/>
  <c r="E57" i="3"/>
  <c r="F25" i="3"/>
  <c r="E188" i="3"/>
  <c r="F29" i="3"/>
  <c r="E60" i="3"/>
  <c r="G55" i="4"/>
  <c r="A32" i="3" l="1"/>
  <c r="A191" i="3"/>
  <c r="E72" i="4"/>
  <c r="E73" i="4"/>
  <c r="E71" i="4"/>
  <c r="E70" i="4"/>
  <c r="A208" i="3"/>
  <c r="A226" i="3" s="1"/>
  <c r="A299" i="3"/>
  <c r="A30" i="6"/>
  <c r="D29" i="6"/>
  <c r="B29" i="6"/>
  <c r="C29" i="6"/>
  <c r="F19" i="4"/>
  <c r="F54" i="4"/>
  <c r="H56" i="4"/>
  <c r="H41" i="2"/>
  <c r="F187" i="3"/>
  <c r="F59" i="3"/>
  <c r="G28" i="3"/>
  <c r="X26" i="4"/>
  <c r="H33" i="2"/>
  <c r="G68" i="2"/>
  <c r="F186" i="3"/>
  <c r="G27" i="3"/>
  <c r="F58" i="3"/>
  <c r="F189" i="3"/>
  <c r="G30" i="3"/>
  <c r="F61" i="3"/>
  <c r="H35" i="2"/>
  <c r="G69" i="2"/>
  <c r="X43" i="2"/>
  <c r="A58" i="2"/>
  <c r="H57" i="2"/>
  <c r="H72" i="2" s="1"/>
  <c r="J57" i="2"/>
  <c r="G57" i="2"/>
  <c r="G72" i="2" s="1"/>
  <c r="N57" i="2"/>
  <c r="M57" i="2"/>
  <c r="I57" i="2"/>
  <c r="K57" i="2"/>
  <c r="L57" i="2"/>
  <c r="B35" i="5"/>
  <c r="B36" i="5"/>
  <c r="F188" i="3"/>
  <c r="G29" i="3"/>
  <c r="F60" i="3"/>
  <c r="E20" i="3"/>
  <c r="F185" i="3"/>
  <c r="G25" i="3"/>
  <c r="G26" i="3"/>
  <c r="F57" i="3"/>
  <c r="J45" i="4"/>
  <c r="J60" i="4" s="1"/>
  <c r="K45" i="4"/>
  <c r="K60" i="4" s="1"/>
  <c r="N45" i="4"/>
  <c r="I45" i="4"/>
  <c r="I60" i="4" s="1"/>
  <c r="L45" i="4"/>
  <c r="A46" i="4"/>
  <c r="M45" i="4"/>
  <c r="Y7" i="3"/>
  <c r="H29" i="2"/>
  <c r="H31" i="2"/>
  <c r="G67" i="2"/>
  <c r="G86" i="2"/>
  <c r="G85" i="2"/>
  <c r="G87" i="2"/>
  <c r="G88" i="2"/>
  <c r="G84" i="2"/>
  <c r="G89" i="2"/>
  <c r="H78" i="3"/>
  <c r="H206" i="3" s="1"/>
  <c r="H79" i="3"/>
  <c r="H207" i="3" s="1"/>
  <c r="G203" i="3"/>
  <c r="H80" i="3"/>
  <c r="H208" i="3" s="1"/>
  <c r="H81" i="3"/>
  <c r="H209" i="3" s="1"/>
  <c r="H77" i="3"/>
  <c r="H205" i="3" s="1"/>
  <c r="H76" i="3"/>
  <c r="H204" i="3" s="1"/>
  <c r="H75" i="3"/>
  <c r="I49" i="3"/>
  <c r="J49" i="3"/>
  <c r="K49" i="3"/>
  <c r="N49" i="3"/>
  <c r="A50" i="3"/>
  <c r="M49" i="3"/>
  <c r="L49" i="3"/>
  <c r="G22" i="4"/>
  <c r="G21" i="4"/>
  <c r="I40" i="2"/>
  <c r="B23" i="5"/>
  <c r="B32" i="5"/>
  <c r="B33" i="5"/>
  <c r="B34" i="5"/>
  <c r="H37" i="2"/>
  <c r="H71" i="2" s="1"/>
  <c r="J26" i="4"/>
  <c r="I57" i="4"/>
  <c r="F18" i="2"/>
  <c r="D30" i="6" l="1"/>
  <c r="A31" i="6"/>
  <c r="B30" i="6"/>
  <c r="C30" i="6"/>
  <c r="A192" i="3"/>
  <c r="A33" i="3"/>
  <c r="F70" i="4"/>
  <c r="F72" i="4"/>
  <c r="F71" i="4"/>
  <c r="F74" i="4"/>
  <c r="F73" i="4"/>
  <c r="A209" i="3"/>
  <c r="A227" i="3" s="1"/>
  <c r="A300" i="3"/>
  <c r="J41" i="2"/>
  <c r="H23" i="4"/>
  <c r="G54" i="4"/>
  <c r="I30" i="2"/>
  <c r="I28" i="2"/>
  <c r="H67" i="2"/>
  <c r="X27" i="4"/>
  <c r="G186" i="3"/>
  <c r="G58" i="3"/>
  <c r="H27" i="3"/>
  <c r="G189" i="3"/>
  <c r="H30" i="3"/>
  <c r="G61" i="3"/>
  <c r="I38" i="2"/>
  <c r="I72" i="2" s="1"/>
  <c r="H21" i="4"/>
  <c r="H22" i="4"/>
  <c r="G53" i="4"/>
  <c r="J50" i="3"/>
  <c r="A51" i="3"/>
  <c r="L50" i="3"/>
  <c r="M50" i="3"/>
  <c r="K50" i="3"/>
  <c r="N50" i="3"/>
  <c r="K27" i="4"/>
  <c r="J58" i="4"/>
  <c r="G190" i="3"/>
  <c r="H31" i="3"/>
  <c r="G62" i="3"/>
  <c r="G187" i="3"/>
  <c r="H28" i="3"/>
  <c r="G59" i="3"/>
  <c r="I34" i="2"/>
  <c r="H69" i="2"/>
  <c r="G18" i="2"/>
  <c r="H86" i="2"/>
  <c r="H90" i="2"/>
  <c r="H88" i="2"/>
  <c r="H85" i="2"/>
  <c r="H87" i="2"/>
  <c r="H84" i="2"/>
  <c r="H89" i="2"/>
  <c r="A47" i="4"/>
  <c r="L46" i="4"/>
  <c r="L61" i="4" s="1"/>
  <c r="M46" i="4"/>
  <c r="K46" i="4"/>
  <c r="K61" i="4" s="1"/>
  <c r="N46" i="4"/>
  <c r="J46" i="4"/>
  <c r="J61" i="4" s="1"/>
  <c r="G185" i="3"/>
  <c r="G57" i="3"/>
  <c r="H26" i="3"/>
  <c r="H25" i="3"/>
  <c r="G188" i="3"/>
  <c r="H29" i="3"/>
  <c r="G60" i="3"/>
  <c r="Y6" i="3"/>
  <c r="I76" i="3"/>
  <c r="I204" i="3" s="1"/>
  <c r="I80" i="3"/>
  <c r="I208" i="3" s="1"/>
  <c r="H203" i="3"/>
  <c r="I77" i="3"/>
  <c r="I205" i="3" s="1"/>
  <c r="I81" i="3"/>
  <c r="I209" i="3" s="1"/>
  <c r="I79" i="3"/>
  <c r="I207" i="3" s="1"/>
  <c r="I82" i="3"/>
  <c r="I210" i="3" s="1"/>
  <c r="I78" i="3"/>
  <c r="I206" i="3" s="1"/>
  <c r="I75" i="3"/>
  <c r="I32" i="2"/>
  <c r="H68" i="2"/>
  <c r="X42" i="2"/>
  <c r="N58" i="2"/>
  <c r="I58" i="2"/>
  <c r="I73" i="2" s="1"/>
  <c r="K58" i="2"/>
  <c r="M58" i="2"/>
  <c r="A59" i="2"/>
  <c r="H58" i="2"/>
  <c r="H73" i="2" s="1"/>
  <c r="J58" i="2"/>
  <c r="L58" i="2"/>
  <c r="I36" i="2"/>
  <c r="H70" i="2"/>
  <c r="I42" i="2"/>
  <c r="F20" i="3"/>
  <c r="A34" i="3" l="1"/>
  <c r="A193" i="3"/>
  <c r="A301" i="3"/>
  <c r="A210" i="3"/>
  <c r="A228" i="3" s="1"/>
  <c r="B31" i="6"/>
  <c r="D31" i="6"/>
  <c r="A32" i="6"/>
  <c r="C31" i="6"/>
  <c r="G70" i="4"/>
  <c r="G71" i="4"/>
  <c r="G72" i="4"/>
  <c r="G75" i="4"/>
  <c r="G74" i="4"/>
  <c r="G73" i="4"/>
  <c r="J43" i="2"/>
  <c r="N59" i="2"/>
  <c r="J59" i="2"/>
  <c r="J74" i="2" s="1"/>
  <c r="I59" i="2"/>
  <c r="I74" i="2" s="1"/>
  <c r="A60" i="2"/>
  <c r="M59" i="2"/>
  <c r="K59" i="2"/>
  <c r="L59" i="2"/>
  <c r="H186" i="3"/>
  <c r="H58" i="3"/>
  <c r="I27" i="3"/>
  <c r="H187" i="3"/>
  <c r="I28" i="3"/>
  <c r="H59" i="3"/>
  <c r="J31" i="2"/>
  <c r="I68" i="2"/>
  <c r="I91" i="2"/>
  <c r="I84" i="2"/>
  <c r="I88" i="2"/>
  <c r="I89" i="2"/>
  <c r="I86" i="2"/>
  <c r="I90" i="2"/>
  <c r="I85" i="2"/>
  <c r="I87" i="2"/>
  <c r="Y5" i="3"/>
  <c r="I21" i="4"/>
  <c r="I22" i="4"/>
  <c r="H53" i="4"/>
  <c r="J29" i="2"/>
  <c r="J27" i="2"/>
  <c r="I67" i="2"/>
  <c r="I24" i="4"/>
  <c r="H55" i="4"/>
  <c r="J33" i="2"/>
  <c r="I69" i="2"/>
  <c r="H18" i="2"/>
  <c r="X41" i="2"/>
  <c r="J78" i="3"/>
  <c r="J206" i="3" s="1"/>
  <c r="J82" i="3"/>
  <c r="J210" i="3" s="1"/>
  <c r="J75" i="3"/>
  <c r="J79" i="3"/>
  <c r="J207" i="3" s="1"/>
  <c r="J83" i="3"/>
  <c r="J211" i="3" s="1"/>
  <c r="J81" i="3"/>
  <c r="J209" i="3" s="1"/>
  <c r="J80" i="3"/>
  <c r="J208" i="3" s="1"/>
  <c r="J76" i="3"/>
  <c r="J204" i="3" s="1"/>
  <c r="I203" i="3"/>
  <c r="J77" i="3"/>
  <c r="J205" i="3" s="1"/>
  <c r="H189" i="3"/>
  <c r="I30" i="3"/>
  <c r="H61" i="3"/>
  <c r="J39" i="2"/>
  <c r="J73" i="2" s="1"/>
  <c r="K42" i="2"/>
  <c r="J37" i="2"/>
  <c r="I71" i="2"/>
  <c r="H185" i="3"/>
  <c r="I25" i="3"/>
  <c r="H57" i="3"/>
  <c r="I26" i="3"/>
  <c r="J35" i="2"/>
  <c r="I70" i="2"/>
  <c r="A52" i="3"/>
  <c r="N51" i="3"/>
  <c r="L51" i="3"/>
  <c r="M51" i="3"/>
  <c r="K51" i="3"/>
  <c r="H188" i="3"/>
  <c r="I29" i="3"/>
  <c r="H60" i="3"/>
  <c r="H191" i="3"/>
  <c r="I32" i="3"/>
  <c r="H63" i="3"/>
  <c r="L28" i="4"/>
  <c r="K59" i="4"/>
  <c r="I23" i="4"/>
  <c r="H54" i="4"/>
  <c r="X28" i="4"/>
  <c r="A48" i="4"/>
  <c r="N47" i="4"/>
  <c r="M47" i="4"/>
  <c r="M62" i="4" s="1"/>
  <c r="K47" i="4"/>
  <c r="K62" i="4" s="1"/>
  <c r="L47" i="4"/>
  <c r="L62" i="4" s="1"/>
  <c r="H190" i="3"/>
  <c r="I31" i="3"/>
  <c r="H62" i="3"/>
  <c r="G20" i="3"/>
  <c r="G19" i="4"/>
  <c r="A194" i="3" l="1"/>
  <c r="A35" i="3"/>
  <c r="H74" i="4"/>
  <c r="H75" i="4"/>
  <c r="H71" i="4"/>
  <c r="H70" i="4"/>
  <c r="H76" i="4"/>
  <c r="H72" i="4"/>
  <c r="H73" i="4"/>
  <c r="B32" i="6"/>
  <c r="A33" i="6"/>
  <c r="D32" i="6"/>
  <c r="C32" i="6"/>
  <c r="A211" i="3"/>
  <c r="A229" i="3" s="1"/>
  <c r="A302" i="3"/>
  <c r="H19" i="4"/>
  <c r="M48" i="4"/>
  <c r="M63" i="4" s="1"/>
  <c r="A49" i="4"/>
  <c r="L48" i="4"/>
  <c r="L63" i="4" s="1"/>
  <c r="N48" i="4"/>
  <c r="J24" i="4"/>
  <c r="I55" i="4"/>
  <c r="I192" i="3"/>
  <c r="J33" i="3"/>
  <c r="I64" i="3"/>
  <c r="I189" i="3"/>
  <c r="J30" i="3"/>
  <c r="I61" i="3"/>
  <c r="K76" i="3"/>
  <c r="K204" i="3" s="1"/>
  <c r="K80" i="3"/>
  <c r="K208" i="3" s="1"/>
  <c r="K84" i="3"/>
  <c r="K212" i="3" s="1"/>
  <c r="J203" i="3"/>
  <c r="K77" i="3"/>
  <c r="K205" i="3" s="1"/>
  <c r="K81" i="3"/>
  <c r="K209" i="3" s="1"/>
  <c r="K79" i="3"/>
  <c r="K207" i="3" s="1"/>
  <c r="K82" i="3"/>
  <c r="K210" i="3" s="1"/>
  <c r="K83" i="3"/>
  <c r="K211" i="3" s="1"/>
  <c r="K78" i="3"/>
  <c r="K206" i="3" s="1"/>
  <c r="K75" i="3"/>
  <c r="M52" i="3"/>
  <c r="N52" i="3"/>
  <c r="L52" i="3"/>
  <c r="A53" i="3"/>
  <c r="K38" i="2"/>
  <c r="J72" i="2"/>
  <c r="J25" i="4"/>
  <c r="I56" i="4"/>
  <c r="J84" i="2"/>
  <c r="J85" i="2"/>
  <c r="J87" i="2"/>
  <c r="J89" i="2"/>
  <c r="J91" i="2"/>
  <c r="J86" i="2"/>
  <c r="J88" i="2"/>
  <c r="J92" i="2"/>
  <c r="J90" i="2"/>
  <c r="K32" i="2"/>
  <c r="J69" i="2"/>
  <c r="M29" i="4"/>
  <c r="L60" i="4"/>
  <c r="I191" i="3"/>
  <c r="J32" i="3"/>
  <c r="I63" i="3"/>
  <c r="K36" i="2"/>
  <c r="J71" i="2"/>
  <c r="I185" i="3"/>
  <c r="I57" i="3"/>
  <c r="J25" i="3"/>
  <c r="J26" i="3"/>
  <c r="J23" i="4"/>
  <c r="I54" i="4"/>
  <c r="I188" i="3"/>
  <c r="J29" i="3"/>
  <c r="I60" i="3"/>
  <c r="A61" i="2"/>
  <c r="K60" i="2"/>
  <c r="K75" i="2" s="1"/>
  <c r="M60" i="2"/>
  <c r="L60" i="2"/>
  <c r="N60" i="2"/>
  <c r="J60" i="2"/>
  <c r="J75" i="2" s="1"/>
  <c r="K44" i="2"/>
  <c r="K40" i="2"/>
  <c r="K34" i="2"/>
  <c r="J70" i="2"/>
  <c r="I187" i="3"/>
  <c r="J28" i="3"/>
  <c r="I59" i="3"/>
  <c r="X40" i="2"/>
  <c r="X29" i="4"/>
  <c r="I186" i="3"/>
  <c r="I58" i="3"/>
  <c r="J27" i="3"/>
  <c r="K30" i="2"/>
  <c r="J68" i="2"/>
  <c r="Y4" i="3"/>
  <c r="L43" i="2"/>
  <c r="I190" i="3"/>
  <c r="J31" i="3"/>
  <c r="I62" i="3"/>
  <c r="K28" i="2"/>
  <c r="K26" i="2"/>
  <c r="J67" i="2"/>
  <c r="J22" i="4"/>
  <c r="J21" i="4"/>
  <c r="I53" i="4"/>
  <c r="H20" i="3"/>
  <c r="I18" i="2"/>
  <c r="K74" i="2"/>
  <c r="A212" i="3" l="1"/>
  <c r="A230" i="3" s="1"/>
  <c r="A303" i="3"/>
  <c r="D33" i="6"/>
  <c r="A34" i="6"/>
  <c r="B33" i="6"/>
  <c r="C33" i="6"/>
  <c r="I71" i="4"/>
  <c r="I74" i="4"/>
  <c r="I73" i="4"/>
  <c r="I75" i="4"/>
  <c r="I72" i="4"/>
  <c r="I76" i="4"/>
  <c r="I70" i="4"/>
  <c r="I77" i="4"/>
  <c r="A36" i="3"/>
  <c r="A195" i="3"/>
  <c r="K23" i="4"/>
  <c r="J54" i="4"/>
  <c r="J191" i="3"/>
  <c r="K32" i="3"/>
  <c r="J63" i="3"/>
  <c r="L35" i="2"/>
  <c r="K71" i="2"/>
  <c r="J189" i="3"/>
  <c r="K30" i="3"/>
  <c r="J61" i="3"/>
  <c r="J185" i="3"/>
  <c r="J57" i="3"/>
  <c r="K26" i="3"/>
  <c r="K25" i="3"/>
  <c r="N30" i="4"/>
  <c r="M61" i="4"/>
  <c r="Y3" i="3"/>
  <c r="K22" i="4"/>
  <c r="K21" i="4"/>
  <c r="J53" i="4"/>
  <c r="L45" i="2"/>
  <c r="L27" i="2"/>
  <c r="L25" i="2"/>
  <c r="K67" i="2"/>
  <c r="J187" i="3"/>
  <c r="J59" i="3"/>
  <c r="K28" i="3"/>
  <c r="L41" i="2"/>
  <c r="L37" i="2"/>
  <c r="K72" i="2"/>
  <c r="N49" i="4"/>
  <c r="M49" i="4"/>
  <c r="M64" i="4" s="1"/>
  <c r="A50" i="4"/>
  <c r="N50" i="4" s="1"/>
  <c r="I19" i="4"/>
  <c r="J18" i="2"/>
  <c r="I20" i="3"/>
  <c r="L31" i="2"/>
  <c r="K69" i="2"/>
  <c r="K24" i="4"/>
  <c r="J55" i="4"/>
  <c r="J192" i="3"/>
  <c r="K33" i="3"/>
  <c r="J64" i="3"/>
  <c r="K87" i="2"/>
  <c r="K91" i="2"/>
  <c r="K86" i="2"/>
  <c r="K92" i="2"/>
  <c r="K85" i="2"/>
  <c r="K89" i="2"/>
  <c r="K88" i="2"/>
  <c r="K90" i="2"/>
  <c r="K93" i="2"/>
  <c r="K84" i="2"/>
  <c r="L39" i="2"/>
  <c r="K73" i="2"/>
  <c r="L29" i="2"/>
  <c r="K68" i="2"/>
  <c r="M44" i="2"/>
  <c r="J188" i="3"/>
  <c r="K29" i="3"/>
  <c r="J60" i="3"/>
  <c r="J186" i="3"/>
  <c r="J58" i="3"/>
  <c r="K27" i="3"/>
  <c r="X30" i="4"/>
  <c r="N63" i="4"/>
  <c r="X39" i="2"/>
  <c r="A62" i="2"/>
  <c r="N61" i="2"/>
  <c r="M61" i="2"/>
  <c r="L61" i="2"/>
  <c r="L76" i="2" s="1"/>
  <c r="K61" i="2"/>
  <c r="K76" i="2" s="1"/>
  <c r="L33" i="2"/>
  <c r="K70" i="2"/>
  <c r="K26" i="4"/>
  <c r="J57" i="4"/>
  <c r="M53" i="3"/>
  <c r="N53" i="3"/>
  <c r="A54" i="3"/>
  <c r="N54" i="3" s="1"/>
  <c r="L78" i="3"/>
  <c r="L206" i="3" s="1"/>
  <c r="L82" i="3"/>
  <c r="L210" i="3" s="1"/>
  <c r="L79" i="3"/>
  <c r="L207" i="3" s="1"/>
  <c r="L83" i="3"/>
  <c r="L211" i="3" s="1"/>
  <c r="K203" i="3"/>
  <c r="L81" i="3"/>
  <c r="L209" i="3" s="1"/>
  <c r="L75" i="3"/>
  <c r="L80" i="3"/>
  <c r="L208" i="3" s="1"/>
  <c r="L76" i="3"/>
  <c r="L204" i="3" s="1"/>
  <c r="L85" i="3"/>
  <c r="L213" i="3" s="1"/>
  <c r="L84" i="3"/>
  <c r="L212" i="3" s="1"/>
  <c r="L77" i="3"/>
  <c r="L205" i="3" s="1"/>
  <c r="J190" i="3"/>
  <c r="K31" i="3"/>
  <c r="J62" i="3"/>
  <c r="J193" i="3"/>
  <c r="K34" i="3"/>
  <c r="J65" i="3"/>
  <c r="K25" i="4"/>
  <c r="J56" i="4"/>
  <c r="L75" i="2"/>
  <c r="D34" i="6" l="1"/>
  <c r="A35" i="6"/>
  <c r="B34" i="6"/>
  <c r="C34" i="6"/>
  <c r="K18" i="2"/>
  <c r="A213" i="3"/>
  <c r="A231" i="3" s="1"/>
  <c r="A304" i="3"/>
  <c r="A196" i="3"/>
  <c r="A37" i="3"/>
  <c r="A197" i="3" s="1"/>
  <c r="J70" i="4"/>
  <c r="J71" i="4"/>
  <c r="J77" i="4"/>
  <c r="J78" i="4"/>
  <c r="J74" i="4"/>
  <c r="J72" i="4"/>
  <c r="J73" i="4"/>
  <c r="J75" i="4"/>
  <c r="J76" i="4"/>
  <c r="X38" i="2"/>
  <c r="L25" i="4"/>
  <c r="K56" i="4"/>
  <c r="N65" i="4"/>
  <c r="X32" i="4"/>
  <c r="M38" i="2"/>
  <c r="L73" i="2"/>
  <c r="K188" i="3"/>
  <c r="L29" i="3"/>
  <c r="K60" i="3"/>
  <c r="M46" i="2"/>
  <c r="L23" i="4"/>
  <c r="K54" i="4"/>
  <c r="M34" i="2"/>
  <c r="L71" i="2"/>
  <c r="K194" i="3"/>
  <c r="L35" i="3"/>
  <c r="K66" i="3"/>
  <c r="M76" i="3"/>
  <c r="M204" i="3" s="1"/>
  <c r="M80" i="3"/>
  <c r="M208" i="3" s="1"/>
  <c r="M84" i="3"/>
  <c r="M212" i="3" s="1"/>
  <c r="L203" i="3"/>
  <c r="M77" i="3"/>
  <c r="M205" i="3" s="1"/>
  <c r="M81" i="3"/>
  <c r="M209" i="3" s="1"/>
  <c r="M85" i="3"/>
  <c r="M213" i="3" s="1"/>
  <c r="M79" i="3"/>
  <c r="M207" i="3" s="1"/>
  <c r="M86" i="3"/>
  <c r="M214" i="3" s="1"/>
  <c r="M82" i="3"/>
  <c r="M210" i="3" s="1"/>
  <c r="M78" i="3"/>
  <c r="M206" i="3" s="1"/>
  <c r="M83" i="3"/>
  <c r="M211" i="3" s="1"/>
  <c r="M75" i="3"/>
  <c r="Y2" i="3"/>
  <c r="Y1" i="3"/>
  <c r="L27" i="4"/>
  <c r="K58" i="4"/>
  <c r="N62" i="2"/>
  <c r="M62" i="2"/>
  <c r="M77" i="2" s="1"/>
  <c r="L62" i="2"/>
  <c r="L77" i="2" s="1"/>
  <c r="A63" i="2"/>
  <c r="K187" i="3"/>
  <c r="K59" i="3"/>
  <c r="L28" i="3"/>
  <c r="N45" i="2"/>
  <c r="L88" i="2"/>
  <c r="L92" i="2"/>
  <c r="L94" i="2"/>
  <c r="L86" i="2"/>
  <c r="L90" i="2"/>
  <c r="L87" i="2"/>
  <c r="L89" i="2"/>
  <c r="L91" i="2"/>
  <c r="L84" i="2"/>
  <c r="L85" i="2"/>
  <c r="L93" i="2"/>
  <c r="M26" i="2"/>
  <c r="M24" i="2"/>
  <c r="L67" i="2"/>
  <c r="K185" i="3"/>
  <c r="L25" i="3"/>
  <c r="K57" i="3"/>
  <c r="L26" i="3"/>
  <c r="L26" i="4"/>
  <c r="K57" i="4"/>
  <c r="M30" i="2"/>
  <c r="L69" i="2"/>
  <c r="K193" i="3"/>
  <c r="L34" i="3"/>
  <c r="K65" i="3"/>
  <c r="W23" i="4"/>
  <c r="N62" i="4"/>
  <c r="M40" i="2"/>
  <c r="L74" i="2"/>
  <c r="L21" i="4"/>
  <c r="L22" i="4"/>
  <c r="K53" i="4"/>
  <c r="K190" i="3"/>
  <c r="L31" i="3"/>
  <c r="K62" i="3"/>
  <c r="M36" i="2"/>
  <c r="L72" i="2"/>
  <c r="K191" i="3"/>
  <c r="L32" i="3"/>
  <c r="K63" i="3"/>
  <c r="K189" i="3"/>
  <c r="L30" i="3"/>
  <c r="K61" i="3"/>
  <c r="M32" i="2"/>
  <c r="L70" i="2"/>
  <c r="N64" i="4"/>
  <c r="X31" i="4"/>
  <c r="M42" i="2"/>
  <c r="M76" i="2" s="1"/>
  <c r="L68" i="2"/>
  <c r="M28" i="2"/>
  <c r="K186" i="3"/>
  <c r="K58" i="3"/>
  <c r="L27" i="3"/>
  <c r="K192" i="3"/>
  <c r="L33" i="3"/>
  <c r="K64" i="3"/>
  <c r="L24" i="4"/>
  <c r="K55" i="4"/>
  <c r="J20" i="3"/>
  <c r="J19" i="4"/>
  <c r="K77" i="4" l="1"/>
  <c r="K72" i="4"/>
  <c r="K71" i="4"/>
  <c r="K78" i="4"/>
  <c r="K76" i="4"/>
  <c r="K79" i="4"/>
  <c r="K73" i="4"/>
  <c r="K70" i="4"/>
  <c r="K74" i="4"/>
  <c r="K75" i="4"/>
  <c r="A215" i="3"/>
  <c r="A233" i="3" s="1"/>
  <c r="A306" i="3"/>
  <c r="A305" i="3"/>
  <c r="A214" i="3"/>
  <c r="A232" i="3" s="1"/>
  <c r="B35" i="6"/>
  <c r="D35" i="6"/>
  <c r="A36" i="6"/>
  <c r="C35" i="6"/>
  <c r="L191" i="3"/>
  <c r="M32" i="3"/>
  <c r="L63" i="3"/>
  <c r="M23" i="4"/>
  <c r="L54" i="4"/>
  <c r="N78" i="3"/>
  <c r="N206" i="3" s="1"/>
  <c r="N83" i="3"/>
  <c r="N211" i="3" s="1"/>
  <c r="N80" i="3"/>
  <c r="N208" i="3" s="1"/>
  <c r="M203" i="3"/>
  <c r="N76" i="3"/>
  <c r="N204" i="3" s="1"/>
  <c r="N82" i="3"/>
  <c r="N210" i="3" s="1"/>
  <c r="N77" i="3"/>
  <c r="N205" i="3" s="1"/>
  <c r="N84" i="3"/>
  <c r="N212" i="3" s="1"/>
  <c r="N79" i="3"/>
  <c r="N207" i="3" s="1"/>
  <c r="N85" i="3"/>
  <c r="N213" i="3" s="1"/>
  <c r="N87" i="3"/>
  <c r="N215" i="3" s="1"/>
  <c r="N75" i="3"/>
  <c r="N203" i="3" s="1"/>
  <c r="N86" i="3"/>
  <c r="N214" i="3" s="1"/>
  <c r="N81" i="3"/>
  <c r="N209" i="3" s="1"/>
  <c r="N27" i="2"/>
  <c r="M68" i="2"/>
  <c r="M84" i="2"/>
  <c r="M95" i="2"/>
  <c r="M87" i="2"/>
  <c r="M93" i="2"/>
  <c r="M89" i="2"/>
  <c r="M90" i="2"/>
  <c r="M92" i="2"/>
  <c r="M91" i="2"/>
  <c r="M88" i="2"/>
  <c r="M85" i="2"/>
  <c r="M86" i="2"/>
  <c r="M94" i="2"/>
  <c r="M28" i="4"/>
  <c r="L59" i="4"/>
  <c r="M25" i="4"/>
  <c r="L56" i="4"/>
  <c r="L190" i="3"/>
  <c r="M31" i="3"/>
  <c r="L62" i="3"/>
  <c r="L192" i="3"/>
  <c r="M33" i="3"/>
  <c r="L64" i="3"/>
  <c r="N37" i="2"/>
  <c r="M73" i="2"/>
  <c r="M21" i="4"/>
  <c r="M22" i="4"/>
  <c r="L53" i="4"/>
  <c r="L194" i="3"/>
  <c r="M35" i="3"/>
  <c r="L66" i="3"/>
  <c r="N31" i="2"/>
  <c r="M70" i="2"/>
  <c r="X37" i="2"/>
  <c r="M24" i="4"/>
  <c r="L55" i="4"/>
  <c r="L189" i="3"/>
  <c r="M30" i="3"/>
  <c r="L61" i="3"/>
  <c r="N39" i="2"/>
  <c r="M74" i="2"/>
  <c r="K19" i="4"/>
  <c r="K20" i="3"/>
  <c r="L18" i="2"/>
  <c r="M27" i="4"/>
  <c r="L58" i="4"/>
  <c r="L186" i="3"/>
  <c r="M27" i="3"/>
  <c r="L58" i="3"/>
  <c r="W36" i="2"/>
  <c r="L193" i="3"/>
  <c r="M34" i="3"/>
  <c r="L65" i="3"/>
  <c r="N41" i="2"/>
  <c r="M75" i="2"/>
  <c r="L187" i="3"/>
  <c r="M28" i="3"/>
  <c r="L59" i="3"/>
  <c r="N29" i="2"/>
  <c r="M69" i="2"/>
  <c r="N43" i="2"/>
  <c r="N33" i="2"/>
  <c r="M71" i="2"/>
  <c r="L185" i="3"/>
  <c r="M26" i="3"/>
  <c r="L57" i="3"/>
  <c r="M25" i="3"/>
  <c r="N25" i="2"/>
  <c r="N23" i="2"/>
  <c r="M67" i="2"/>
  <c r="L188" i="3"/>
  <c r="L60" i="3"/>
  <c r="M29" i="3"/>
  <c r="N63" i="2"/>
  <c r="A64" i="2"/>
  <c r="N64" i="2" s="1"/>
  <c r="M63" i="2"/>
  <c r="M78" i="2" s="1"/>
  <c r="L195" i="3"/>
  <c r="M36" i="3"/>
  <c r="L67" i="3"/>
  <c r="N35" i="2"/>
  <c r="M72" i="2"/>
  <c r="N47" i="2"/>
  <c r="M26" i="4"/>
  <c r="L57" i="4"/>
  <c r="L80" i="4" l="1"/>
  <c r="L76" i="4"/>
  <c r="L74" i="4"/>
  <c r="L73" i="4"/>
  <c r="L75" i="4"/>
  <c r="L79" i="4"/>
  <c r="L72" i="4"/>
  <c r="L77" i="4"/>
  <c r="L78" i="4"/>
  <c r="L71" i="4"/>
  <c r="L70" i="4"/>
  <c r="M18" i="2"/>
  <c r="B36" i="6"/>
  <c r="A37" i="6"/>
  <c r="D36" i="6"/>
  <c r="C36" i="6"/>
  <c r="W35" i="2"/>
  <c r="M189" i="3"/>
  <c r="N30" i="3"/>
  <c r="M61" i="3"/>
  <c r="W37" i="2"/>
  <c r="M187" i="3"/>
  <c r="M59" i="3"/>
  <c r="N28" i="3"/>
  <c r="N28" i="4"/>
  <c r="M59" i="4"/>
  <c r="W43" i="2"/>
  <c r="N71" i="2"/>
  <c r="M191" i="3"/>
  <c r="N32" i="3"/>
  <c r="M63" i="3"/>
  <c r="N78" i="2"/>
  <c r="X36" i="2"/>
  <c r="N79" i="2"/>
  <c r="X35" i="2"/>
  <c r="M186" i="3"/>
  <c r="N27" i="3"/>
  <c r="M58" i="3"/>
  <c r="W42" i="2"/>
  <c r="N124" i="2"/>
  <c r="N72" i="2"/>
  <c r="W38" i="2"/>
  <c r="N76" i="2"/>
  <c r="W47" i="2"/>
  <c r="N67" i="2"/>
  <c r="M194" i="3"/>
  <c r="N35" i="3"/>
  <c r="M66" i="3"/>
  <c r="W40" i="2"/>
  <c r="N74" i="2"/>
  <c r="W45" i="2"/>
  <c r="N69" i="2"/>
  <c r="N77" i="2"/>
  <c r="L20" i="3"/>
  <c r="L19" i="4"/>
  <c r="M185" i="3"/>
  <c r="M57" i="3"/>
  <c r="N25" i="3"/>
  <c r="N26" i="3"/>
  <c r="W39" i="2"/>
  <c r="N75" i="2"/>
  <c r="M193" i="3"/>
  <c r="N34" i="3"/>
  <c r="M65" i="3"/>
  <c r="N26" i="4"/>
  <c r="M57" i="4"/>
  <c r="M192" i="3"/>
  <c r="N33" i="3"/>
  <c r="M64" i="3"/>
  <c r="N27" i="4"/>
  <c r="M58" i="4"/>
  <c r="N125" i="2"/>
  <c r="W41" i="2"/>
  <c r="N73" i="2"/>
  <c r="N104" i="2"/>
  <c r="N122" i="2"/>
  <c r="W44" i="2"/>
  <c r="N70" i="2"/>
  <c r="M190" i="3"/>
  <c r="N31" i="3"/>
  <c r="M62" i="3"/>
  <c r="N25" i="4"/>
  <c r="M56" i="4"/>
  <c r="N22" i="4"/>
  <c r="N21" i="4"/>
  <c r="M53" i="4"/>
  <c r="N91" i="2"/>
  <c r="N126" i="2" s="1"/>
  <c r="N95" i="2"/>
  <c r="N96" i="2"/>
  <c r="N113" i="2" s="1"/>
  <c r="N87" i="2"/>
  <c r="N84" i="2"/>
  <c r="N101" i="2" s="1"/>
  <c r="N93" i="2"/>
  <c r="N110" i="2" s="1"/>
  <c r="N85" i="2"/>
  <c r="N120" i="2" s="1"/>
  <c r="N86" i="2"/>
  <c r="N103" i="2" s="1"/>
  <c r="M103" i="2" s="1"/>
  <c r="N89" i="2"/>
  <c r="N106" i="2" s="1"/>
  <c r="N92" i="2"/>
  <c r="N127" i="2" s="1"/>
  <c r="N94" i="2"/>
  <c r="N129" i="2" s="1"/>
  <c r="N90" i="2"/>
  <c r="N107" i="2" s="1"/>
  <c r="N88" i="2"/>
  <c r="N123" i="2" s="1"/>
  <c r="M196" i="3"/>
  <c r="N37" i="3"/>
  <c r="M68" i="3"/>
  <c r="W46" i="2"/>
  <c r="N68" i="2"/>
  <c r="M188" i="3"/>
  <c r="M60" i="3"/>
  <c r="N29" i="3"/>
  <c r="M195" i="3"/>
  <c r="N36" i="3"/>
  <c r="M67" i="3"/>
  <c r="N23" i="4"/>
  <c r="M54" i="4"/>
  <c r="N29" i="4"/>
  <c r="M60" i="4"/>
  <c r="N24" i="4"/>
  <c r="M55" i="4"/>
  <c r="M107" i="2" l="1"/>
  <c r="M71" i="4"/>
  <c r="M78" i="4"/>
  <c r="M81" i="4"/>
  <c r="M70" i="4"/>
  <c r="M75" i="4"/>
  <c r="M80" i="4"/>
  <c r="M74" i="4"/>
  <c r="M72" i="4"/>
  <c r="M73" i="4"/>
  <c r="M77" i="4"/>
  <c r="M79" i="4"/>
  <c r="M76" i="4"/>
  <c r="D37" i="6"/>
  <c r="A38" i="6"/>
  <c r="B37" i="6"/>
  <c r="C37" i="6"/>
  <c r="M106" i="2"/>
  <c r="N108" i="2"/>
  <c r="N102" i="2"/>
  <c r="M101" i="2"/>
  <c r="L101" i="2" s="1"/>
  <c r="K101" i="2" s="1"/>
  <c r="N105" i="2"/>
  <c r="M104" i="2" s="1"/>
  <c r="L103" i="2" s="1"/>
  <c r="M19" i="4"/>
  <c r="M166" i="2"/>
  <c r="N146" i="2"/>
  <c r="M183" i="2"/>
  <c r="N137" i="2"/>
  <c r="N140" i="2"/>
  <c r="M160" i="2"/>
  <c r="M177" i="2" s="1"/>
  <c r="M123" i="2"/>
  <c r="M164" i="2"/>
  <c r="N144" i="2"/>
  <c r="M181" i="2"/>
  <c r="W30" i="4"/>
  <c r="N55" i="4"/>
  <c r="W28" i="4"/>
  <c r="N57" i="4"/>
  <c r="W27" i="4"/>
  <c r="N58" i="4"/>
  <c r="N143" i="2"/>
  <c r="M163" i="2"/>
  <c r="M180" i="2"/>
  <c r="N192" i="3"/>
  <c r="X6" i="3"/>
  <c r="N119" i="3"/>
  <c r="N100" i="3"/>
  <c r="N64" i="3"/>
  <c r="N142" i="2"/>
  <c r="M162" i="2"/>
  <c r="M179" i="2" s="1"/>
  <c r="M125" i="2"/>
  <c r="W24" i="4"/>
  <c r="N61" i="4"/>
  <c r="X2" i="3"/>
  <c r="N123" i="3"/>
  <c r="N104" i="3"/>
  <c r="N196" i="3"/>
  <c r="N68" i="3"/>
  <c r="N105" i="3"/>
  <c r="N197" i="3"/>
  <c r="N124" i="3"/>
  <c r="N142" i="3" s="1"/>
  <c r="X1" i="3"/>
  <c r="N69" i="3"/>
  <c r="X7" i="3"/>
  <c r="N191" i="3"/>
  <c r="N118" i="3"/>
  <c r="N99" i="3"/>
  <c r="M99" i="3" s="1"/>
  <c r="N63" i="3"/>
  <c r="N102" i="3"/>
  <c r="N194" i="3"/>
  <c r="N121" i="3"/>
  <c r="X4" i="3"/>
  <c r="N66" i="3"/>
  <c r="N93" i="3"/>
  <c r="X13" i="3"/>
  <c r="N185" i="3"/>
  <c r="N112" i="3"/>
  <c r="N57" i="3"/>
  <c r="N189" i="3"/>
  <c r="N116" i="3"/>
  <c r="X9" i="3"/>
  <c r="N97" i="3"/>
  <c r="N61" i="3"/>
  <c r="W32" i="4"/>
  <c r="N53" i="4"/>
  <c r="N94" i="3"/>
  <c r="M94" i="3" s="1"/>
  <c r="L94" i="3" s="1"/>
  <c r="N186" i="3"/>
  <c r="N113" i="3"/>
  <c r="X12" i="3"/>
  <c r="N58" i="3"/>
  <c r="X10" i="3"/>
  <c r="N115" i="3"/>
  <c r="N96" i="3"/>
  <c r="M96" i="3" s="1"/>
  <c r="N188" i="3"/>
  <c r="N60" i="3"/>
  <c r="N98" i="3"/>
  <c r="M98" i="3" s="1"/>
  <c r="L98" i="3" s="1"/>
  <c r="N117" i="3"/>
  <c r="N190" i="3"/>
  <c r="X8" i="3"/>
  <c r="N62" i="3"/>
  <c r="M20" i="3"/>
  <c r="N121" i="2"/>
  <c r="M157" i="2" s="1"/>
  <c r="M174" i="2" s="1"/>
  <c r="N119" i="2"/>
  <c r="N131" i="2"/>
  <c r="N148" i="2" s="1"/>
  <c r="W29" i="4"/>
  <c r="N56" i="4"/>
  <c r="N130" i="2"/>
  <c r="N112" i="2"/>
  <c r="M112" i="2" s="1"/>
  <c r="N101" i="3"/>
  <c r="N120" i="3"/>
  <c r="N193" i="3"/>
  <c r="X5" i="3"/>
  <c r="N65" i="3"/>
  <c r="N103" i="3"/>
  <c r="N195" i="3"/>
  <c r="X3" i="3"/>
  <c r="N122" i="3"/>
  <c r="N67" i="3"/>
  <c r="M161" i="2"/>
  <c r="M178" i="2" s="1"/>
  <c r="N141" i="2"/>
  <c r="M124" i="2"/>
  <c r="N187" i="3"/>
  <c r="X11" i="3"/>
  <c r="N114" i="3"/>
  <c r="N95" i="3"/>
  <c r="M95" i="3" s="1"/>
  <c r="L95" i="3" s="1"/>
  <c r="N59" i="3"/>
  <c r="W25" i="4"/>
  <c r="N60" i="4"/>
  <c r="N139" i="2"/>
  <c r="M159" i="2"/>
  <c r="M176" i="2" s="1"/>
  <c r="M122" i="2"/>
  <c r="W31" i="4"/>
  <c r="N54" i="4"/>
  <c r="W26" i="4"/>
  <c r="N59" i="4"/>
  <c r="N109" i="2"/>
  <c r="M109" i="2" s="1"/>
  <c r="N128" i="2"/>
  <c r="M105" i="2"/>
  <c r="L105" i="2" s="1"/>
  <c r="M126" i="2"/>
  <c r="M102" i="2"/>
  <c r="L102" i="2" s="1"/>
  <c r="N18" i="2"/>
  <c r="Z36" i="2" s="1"/>
  <c r="AA36" i="2" s="1"/>
  <c r="AB36" i="2" s="1"/>
  <c r="N111" i="2"/>
  <c r="M110" i="2" s="1"/>
  <c r="Z44" i="2" l="1"/>
  <c r="AA44" i="2" s="1"/>
  <c r="AB44" i="2" s="1"/>
  <c r="Z43" i="2"/>
  <c r="AA43" i="2" s="1"/>
  <c r="AB43" i="2" s="1"/>
  <c r="K102" i="2"/>
  <c r="J101" i="2" s="1"/>
  <c r="Z42" i="2"/>
  <c r="AA42" i="2" s="1"/>
  <c r="AB42" i="2" s="1"/>
  <c r="Z40" i="2"/>
  <c r="AA40" i="2" s="1"/>
  <c r="AB40" i="2" s="1"/>
  <c r="L106" i="2"/>
  <c r="K105" i="2" s="1"/>
  <c r="Z45" i="2"/>
  <c r="AA45" i="2" s="1"/>
  <c r="AB45" i="2" s="1"/>
  <c r="N70" i="4"/>
  <c r="N87" i="4" s="1"/>
  <c r="N102" i="4" s="1"/>
  <c r="N72" i="4"/>
  <c r="N89" i="4" s="1"/>
  <c r="M89" i="4" s="1"/>
  <c r="N73" i="4"/>
  <c r="N90" i="4" s="1"/>
  <c r="N82" i="4"/>
  <c r="N99" i="4" s="1"/>
  <c r="N114" i="4" s="1"/>
  <c r="N79" i="4"/>
  <c r="N96" i="4" s="1"/>
  <c r="N76" i="4"/>
  <c r="N93" i="4" s="1"/>
  <c r="N71" i="4"/>
  <c r="N88" i="4" s="1"/>
  <c r="N80" i="4"/>
  <c r="N97" i="4" s="1"/>
  <c r="M97" i="4" s="1"/>
  <c r="N75" i="4"/>
  <c r="N92" i="4" s="1"/>
  <c r="N81" i="4"/>
  <c r="N98" i="4" s="1"/>
  <c r="N74" i="4"/>
  <c r="N91" i="4" s="1"/>
  <c r="M90" i="4" s="1"/>
  <c r="N77" i="4"/>
  <c r="N94" i="4" s="1"/>
  <c r="M94" i="4" s="1"/>
  <c r="N78" i="4"/>
  <c r="N95" i="4" s="1"/>
  <c r="N110" i="4" s="1"/>
  <c r="K94" i="3"/>
  <c r="L109" i="2"/>
  <c r="Z35" i="2"/>
  <c r="AA35" i="2" s="1"/>
  <c r="AB35" i="2" s="1"/>
  <c r="Z46" i="2"/>
  <c r="AA46" i="2" s="1"/>
  <c r="AB46" i="2" s="1"/>
  <c r="A39" i="6"/>
  <c r="D38" i="6"/>
  <c r="B38" i="6"/>
  <c r="C38" i="6"/>
  <c r="Z39" i="2"/>
  <c r="AA39" i="2" s="1"/>
  <c r="AB39" i="2" s="1"/>
  <c r="L180" i="2"/>
  <c r="M143" i="2"/>
  <c r="L163" i="2"/>
  <c r="N109" i="4"/>
  <c r="N105" i="4"/>
  <c r="N299" i="3"/>
  <c r="N226" i="3"/>
  <c r="N297" i="3"/>
  <c r="N224" i="3"/>
  <c r="N130" i="3"/>
  <c r="M150" i="3"/>
  <c r="M167" i="3" s="1"/>
  <c r="M112" i="3"/>
  <c r="N305" i="3"/>
  <c r="M305" i="3" s="1"/>
  <c r="N232" i="3"/>
  <c r="N222" i="3"/>
  <c r="N295" i="3"/>
  <c r="M154" i="3"/>
  <c r="M171" i="3" s="1"/>
  <c r="N134" i="3"/>
  <c r="M116" i="3"/>
  <c r="N136" i="3"/>
  <c r="M156" i="3"/>
  <c r="M173" i="3" s="1"/>
  <c r="M118" i="3"/>
  <c r="M165" i="2"/>
  <c r="N145" i="2"/>
  <c r="M182" i="2"/>
  <c r="M128" i="2"/>
  <c r="N108" i="4"/>
  <c r="L159" i="2"/>
  <c r="L176" i="2" s="1"/>
  <c r="M139" i="2"/>
  <c r="L122" i="2"/>
  <c r="N296" i="3"/>
  <c r="M296" i="3" s="1"/>
  <c r="N223" i="3"/>
  <c r="N231" i="3"/>
  <c r="N304" i="3"/>
  <c r="N302" i="3"/>
  <c r="N229" i="3"/>
  <c r="N147" i="2"/>
  <c r="M167" i="2"/>
  <c r="M184" i="2"/>
  <c r="M130" i="2"/>
  <c r="M147" i="2" s="1"/>
  <c r="N135" i="3"/>
  <c r="M155" i="3"/>
  <c r="M172" i="3" s="1"/>
  <c r="M117" i="3"/>
  <c r="N294" i="3"/>
  <c r="N221" i="3"/>
  <c r="N233" i="3"/>
  <c r="N251" i="3" s="1"/>
  <c r="N306" i="3"/>
  <c r="M104" i="3"/>
  <c r="N113" i="4"/>
  <c r="N228" i="3"/>
  <c r="N301" i="3"/>
  <c r="M91" i="4"/>
  <c r="L8" i="3"/>
  <c r="M8" i="3" s="1"/>
  <c r="N8" i="3" s="1"/>
  <c r="M101" i="3"/>
  <c r="M93" i="3"/>
  <c r="L93" i="3" s="1"/>
  <c r="K93" i="3" s="1"/>
  <c r="M108" i="2"/>
  <c r="M111" i="2"/>
  <c r="L111" i="2" s="1"/>
  <c r="L104" i="2"/>
  <c r="Z38" i="2"/>
  <c r="AA38" i="2" s="1"/>
  <c r="AB38" i="2" s="1"/>
  <c r="Z47" i="2"/>
  <c r="AA47" i="2" s="1"/>
  <c r="AB47" i="2" s="1"/>
  <c r="N19" i="4"/>
  <c r="M97" i="3"/>
  <c r="L97" i="3" s="1"/>
  <c r="K97" i="3" s="1"/>
  <c r="N103" i="4"/>
  <c r="M88" i="4"/>
  <c r="M158" i="2"/>
  <c r="M175" i="2"/>
  <c r="N138" i="2"/>
  <c r="M121" i="2"/>
  <c r="N225" i="3"/>
  <c r="N298" i="3"/>
  <c r="M102" i="3"/>
  <c r="N111" i="4"/>
  <c r="N300" i="3"/>
  <c r="N227" i="3"/>
  <c r="N132" i="3"/>
  <c r="M152" i="3"/>
  <c r="M169" i="3" s="1"/>
  <c r="M114" i="3"/>
  <c r="M177" i="3"/>
  <c r="M160" i="3"/>
  <c r="N140" i="3"/>
  <c r="M122" i="3"/>
  <c r="N230" i="3"/>
  <c r="N303" i="3"/>
  <c r="M303" i="3" s="1"/>
  <c r="M142" i="2"/>
  <c r="L162" i="2"/>
  <c r="L179" i="2" s="1"/>
  <c r="L125" i="2"/>
  <c r="M174" i="3"/>
  <c r="N137" i="3"/>
  <c r="M157" i="3"/>
  <c r="M119" i="3"/>
  <c r="M141" i="2"/>
  <c r="L161" i="2"/>
  <c r="L178" i="2" s="1"/>
  <c r="L124" i="2"/>
  <c r="M103" i="3"/>
  <c r="N112" i="4"/>
  <c r="N138" i="3"/>
  <c r="M175" i="3"/>
  <c r="M158" i="3"/>
  <c r="M120" i="3"/>
  <c r="M156" i="2"/>
  <c r="M173" i="2" s="1"/>
  <c r="N136" i="2"/>
  <c r="M119" i="2"/>
  <c r="M153" i="3"/>
  <c r="M170" i="3" s="1"/>
  <c r="N133" i="3"/>
  <c r="M115" i="3"/>
  <c r="M168" i="3"/>
  <c r="N131" i="3"/>
  <c r="M151" i="3"/>
  <c r="M113" i="3"/>
  <c r="M176" i="3"/>
  <c r="N139" i="3"/>
  <c r="M159" i="3"/>
  <c r="M121" i="3"/>
  <c r="M161" i="3"/>
  <c r="N141" i="3"/>
  <c r="M178" i="3"/>
  <c r="M123" i="3"/>
  <c r="M141" i="3" s="1"/>
  <c r="N107" i="4"/>
  <c r="M92" i="4"/>
  <c r="L160" i="2"/>
  <c r="L177" i="2" s="1"/>
  <c r="M140" i="2"/>
  <c r="L123" i="2"/>
  <c r="N20" i="3"/>
  <c r="L12" i="3" s="1"/>
  <c r="M12" i="3" s="1"/>
  <c r="N12" i="3" s="1"/>
  <c r="Z37" i="2"/>
  <c r="AA37" i="2" s="1"/>
  <c r="AB37" i="2" s="1"/>
  <c r="Z41" i="2"/>
  <c r="AA41" i="2" s="1"/>
  <c r="AB41" i="2" s="1"/>
  <c r="AB32" i="2" s="1"/>
  <c r="AB31" i="2" s="1"/>
  <c r="AB29" i="2" s="1"/>
  <c r="AC29" i="2" s="1"/>
  <c r="M100" i="3"/>
  <c r="L100" i="3" s="1"/>
  <c r="M127" i="2"/>
  <c r="M120" i="2"/>
  <c r="M129" i="2"/>
  <c r="N106" i="4" l="1"/>
  <c r="M98" i="4"/>
  <c r="N104" i="4"/>
  <c r="L97" i="4"/>
  <c r="M87" i="4"/>
  <c r="M95" i="4"/>
  <c r="M110" i="4" s="1"/>
  <c r="M93" i="4"/>
  <c r="L92" i="4" s="1"/>
  <c r="M299" i="3"/>
  <c r="B39" i="6"/>
  <c r="D39" i="6"/>
  <c r="A40" i="6"/>
  <c r="C39" i="6"/>
  <c r="L99" i="3"/>
  <c r="K99" i="3" s="1"/>
  <c r="L6" i="3"/>
  <c r="M6" i="3" s="1"/>
  <c r="N6" i="3" s="1"/>
  <c r="M96" i="4"/>
  <c r="L96" i="4" s="1"/>
  <c r="K96" i="4" s="1"/>
  <c r="J93" i="3"/>
  <c r="M302" i="3"/>
  <c r="L302" i="3" s="1"/>
  <c r="M113" i="4"/>
  <c r="L183" i="2"/>
  <c r="L166" i="2"/>
  <c r="M146" i="2"/>
  <c r="L129" i="2"/>
  <c r="L146" i="2" s="1"/>
  <c r="N248" i="3"/>
  <c r="M269" i="3"/>
  <c r="M286" i="3"/>
  <c r="M230" i="3"/>
  <c r="M102" i="4"/>
  <c r="L87" i="4"/>
  <c r="K161" i="2"/>
  <c r="L141" i="2"/>
  <c r="K178" i="2"/>
  <c r="K124" i="2"/>
  <c r="L158" i="2"/>
  <c r="L175" i="2" s="1"/>
  <c r="M138" i="2"/>
  <c r="L121" i="2"/>
  <c r="M103" i="4"/>
  <c r="L88" i="4"/>
  <c r="M106" i="4"/>
  <c r="L91" i="4"/>
  <c r="L155" i="3"/>
  <c r="L172" i="3" s="1"/>
  <c r="M135" i="3"/>
  <c r="L117" i="3"/>
  <c r="M268" i="3"/>
  <c r="N247" i="3"/>
  <c r="M285" i="3"/>
  <c r="M229" i="3"/>
  <c r="N241" i="3"/>
  <c r="M262" i="3"/>
  <c r="M279" i="3" s="1"/>
  <c r="M223" i="3"/>
  <c r="M145" i="2"/>
  <c r="L182" i="2"/>
  <c r="L165" i="2"/>
  <c r="L128" i="2"/>
  <c r="M271" i="3"/>
  <c r="N250" i="3"/>
  <c r="M288" i="3"/>
  <c r="M232" i="3"/>
  <c r="M250" i="3" s="1"/>
  <c r="M282" i="3"/>
  <c r="M265" i="3"/>
  <c r="N244" i="3"/>
  <c r="M226" i="3"/>
  <c r="M109" i="4"/>
  <c r="L164" i="2"/>
  <c r="M144" i="2"/>
  <c r="L181" i="2"/>
  <c r="L127" i="2"/>
  <c r="L103" i="3"/>
  <c r="L112" i="4" s="1"/>
  <c r="M112" i="4"/>
  <c r="N243" i="3"/>
  <c r="M281" i="3"/>
  <c r="M264" i="3"/>
  <c r="M225" i="3"/>
  <c r="K104" i="2"/>
  <c r="J104" i="2" s="1"/>
  <c r="K103" i="2"/>
  <c r="N246" i="3"/>
  <c r="M267" i="3"/>
  <c r="M284" i="3"/>
  <c r="M228" i="3"/>
  <c r="N249" i="3"/>
  <c r="M270" i="3"/>
  <c r="M287" i="3"/>
  <c r="M231" i="3"/>
  <c r="N240" i="3"/>
  <c r="M261" i="3"/>
  <c r="M278" i="3" s="1"/>
  <c r="M222" i="3"/>
  <c r="K98" i="3"/>
  <c r="J98" i="3" s="1"/>
  <c r="L96" i="3"/>
  <c r="L7" i="3"/>
  <c r="M7" i="3" s="1"/>
  <c r="N7" i="3" s="1"/>
  <c r="L13" i="3"/>
  <c r="M13" i="3" s="1"/>
  <c r="N13" i="3" s="1"/>
  <c r="L10" i="3"/>
  <c r="M10" i="3" s="1"/>
  <c r="N10" i="3" s="1"/>
  <c r="L14" i="3"/>
  <c r="M14" i="3" s="1"/>
  <c r="N14" i="3" s="1"/>
  <c r="M300" i="3"/>
  <c r="L9" i="3"/>
  <c r="M9" i="3" s="1"/>
  <c r="N9" i="3" s="1"/>
  <c r="L17" i="3"/>
  <c r="M17" i="3" s="1"/>
  <c r="N17" i="3" s="1"/>
  <c r="L110" i="2"/>
  <c r="L15" i="3"/>
  <c r="M15" i="3" s="1"/>
  <c r="N15" i="3" s="1"/>
  <c r="M294" i="3"/>
  <c r="M297" i="3"/>
  <c r="L102" i="3"/>
  <c r="M111" i="4"/>
  <c r="L176" i="3"/>
  <c r="M139" i="3"/>
  <c r="L159" i="3"/>
  <c r="L121" i="3"/>
  <c r="L157" i="3"/>
  <c r="L174" i="3"/>
  <c r="M137" i="3"/>
  <c r="L119" i="3"/>
  <c r="L142" i="2"/>
  <c r="M137" i="2"/>
  <c r="L157" i="2"/>
  <c r="L174" i="2"/>
  <c r="L120" i="2"/>
  <c r="K160" i="2"/>
  <c r="K177" i="2" s="1"/>
  <c r="L140" i="2"/>
  <c r="K123" i="2"/>
  <c r="M107" i="4"/>
  <c r="M131" i="3"/>
  <c r="L151" i="3"/>
  <c r="L168" i="3" s="1"/>
  <c r="L113" i="3"/>
  <c r="M133" i="3"/>
  <c r="L153" i="3"/>
  <c r="L170" i="3" s="1"/>
  <c r="L115" i="3"/>
  <c r="L156" i="2"/>
  <c r="L173" i="2" s="1"/>
  <c r="M136" i="2"/>
  <c r="L119" i="2"/>
  <c r="M138" i="3"/>
  <c r="L175" i="3"/>
  <c r="L158" i="3"/>
  <c r="L120" i="3"/>
  <c r="M140" i="3"/>
  <c r="L160" i="3"/>
  <c r="L177" i="3"/>
  <c r="L122" i="3"/>
  <c r="L140" i="3" s="1"/>
  <c r="M132" i="3"/>
  <c r="L152" i="3"/>
  <c r="L169" i="3" s="1"/>
  <c r="L114" i="3"/>
  <c r="M266" i="3"/>
  <c r="M283" i="3"/>
  <c r="N245" i="3"/>
  <c r="M227" i="3"/>
  <c r="L108" i="2"/>
  <c r="K108" i="2" s="1"/>
  <c r="L107" i="2"/>
  <c r="M104" i="4"/>
  <c r="L89" i="4"/>
  <c r="M260" i="3"/>
  <c r="M277" i="3" s="1"/>
  <c r="N239" i="3"/>
  <c r="M221" i="3"/>
  <c r="L139" i="2"/>
  <c r="K159" i="2"/>
  <c r="K176" i="2" s="1"/>
  <c r="K122" i="2"/>
  <c r="M108" i="4"/>
  <c r="L93" i="4"/>
  <c r="L173" i="3"/>
  <c r="M136" i="3"/>
  <c r="L156" i="3"/>
  <c r="L118" i="3"/>
  <c r="L154" i="3"/>
  <c r="L171" i="3" s="1"/>
  <c r="M134" i="3"/>
  <c r="L116" i="3"/>
  <c r="M130" i="3"/>
  <c r="L150" i="3"/>
  <c r="L167" i="3" s="1"/>
  <c r="L112" i="3"/>
  <c r="M263" i="3"/>
  <c r="M280" i="3" s="1"/>
  <c r="N242" i="3"/>
  <c r="M224" i="3"/>
  <c r="M105" i="4"/>
  <c r="L90" i="4"/>
  <c r="L16" i="3"/>
  <c r="M16" i="3" s="1"/>
  <c r="N16" i="3" s="1"/>
  <c r="L18" i="3"/>
  <c r="M18" i="3" s="1"/>
  <c r="N18" i="3" s="1"/>
  <c r="L11" i="3"/>
  <c r="M11" i="3" s="1"/>
  <c r="N11" i="3" s="1"/>
  <c r="M298" i="3"/>
  <c r="L298" i="3" s="1"/>
  <c r="L101" i="3"/>
  <c r="K101" i="3" s="1"/>
  <c r="M301" i="3"/>
  <c r="L301" i="3" s="1"/>
  <c r="K301" i="3" s="1"/>
  <c r="M304" i="3"/>
  <c r="L304" i="3" s="1"/>
  <c r="M295" i="3"/>
  <c r="L295" i="3" s="1"/>
  <c r="L126" i="2"/>
  <c r="K125" i="2" s="1"/>
  <c r="L303" i="3" l="1"/>
  <c r="K303" i="3" s="1"/>
  <c r="L94" i="4"/>
  <c r="L95" i="4"/>
  <c r="J97" i="3"/>
  <c r="I97" i="3" s="1"/>
  <c r="N4" i="3"/>
  <c r="N3" i="3" s="1"/>
  <c r="N2" i="3" s="1"/>
  <c r="O2" i="3" s="1"/>
  <c r="B40" i="6"/>
  <c r="D40" i="6"/>
  <c r="A41" i="6"/>
  <c r="C40" i="6"/>
  <c r="L300" i="3"/>
  <c r="K300" i="3" s="1"/>
  <c r="J300" i="3" s="1"/>
  <c r="K150" i="3"/>
  <c r="K167" i="3" s="1"/>
  <c r="L130" i="3"/>
  <c r="K112" i="3"/>
  <c r="K156" i="3"/>
  <c r="K173" i="3" s="1"/>
  <c r="L136" i="3"/>
  <c r="K118" i="3"/>
  <c r="L108" i="4"/>
  <c r="K93" i="4"/>
  <c r="K107" i="2"/>
  <c r="J107" i="2" s="1"/>
  <c r="K106" i="2"/>
  <c r="L137" i="2"/>
  <c r="K157" i="2"/>
  <c r="K174" i="2" s="1"/>
  <c r="K120" i="2"/>
  <c r="K157" i="3"/>
  <c r="L137" i="3"/>
  <c r="K174" i="3"/>
  <c r="K119" i="3"/>
  <c r="L261" i="3"/>
  <c r="L278" i="3" s="1"/>
  <c r="M240" i="3"/>
  <c r="L222" i="3"/>
  <c r="M246" i="3"/>
  <c r="L267" i="3"/>
  <c r="L284" i="3"/>
  <c r="L228" i="3"/>
  <c r="L144" i="2"/>
  <c r="K181" i="2"/>
  <c r="K164" i="2"/>
  <c r="K127" i="2"/>
  <c r="L106" i="4"/>
  <c r="K91" i="4"/>
  <c r="K158" i="2"/>
  <c r="K175" i="2" s="1"/>
  <c r="L138" i="2"/>
  <c r="K121" i="2"/>
  <c r="K141" i="2"/>
  <c r="J161" i="2"/>
  <c r="J178" i="2" s="1"/>
  <c r="J124" i="2"/>
  <c r="L102" i="4"/>
  <c r="K87" i="4"/>
  <c r="L105" i="4"/>
  <c r="K90" i="4"/>
  <c r="K139" i="2"/>
  <c r="J159" i="2"/>
  <c r="J176" i="2" s="1"/>
  <c r="J122" i="2"/>
  <c r="M239" i="3"/>
  <c r="L260" i="3"/>
  <c r="L277" i="3" s="1"/>
  <c r="L221" i="3"/>
  <c r="L104" i="4"/>
  <c r="K89" i="4"/>
  <c r="L266" i="3"/>
  <c r="M245" i="3"/>
  <c r="L283" i="3"/>
  <c r="L227" i="3"/>
  <c r="L132" i="3"/>
  <c r="K152" i="3"/>
  <c r="K169" i="3" s="1"/>
  <c r="K114" i="3"/>
  <c r="K158" i="3"/>
  <c r="K175" i="3"/>
  <c r="L138" i="3"/>
  <c r="K120" i="3"/>
  <c r="L136" i="2"/>
  <c r="K156" i="2"/>
  <c r="K173" i="2" s="1"/>
  <c r="K119" i="2"/>
  <c r="K153" i="3"/>
  <c r="K170" i="3" s="1"/>
  <c r="L133" i="3"/>
  <c r="K115" i="3"/>
  <c r="L131" i="3"/>
  <c r="K151" i="3"/>
  <c r="K168" i="3" s="1"/>
  <c r="K113" i="3"/>
  <c r="L107" i="4"/>
  <c r="K92" i="4"/>
  <c r="K96" i="3"/>
  <c r="J96" i="3" s="1"/>
  <c r="I96" i="3" s="1"/>
  <c r="H96" i="3" s="1"/>
  <c r="K95" i="3"/>
  <c r="L294" i="3"/>
  <c r="K294" i="3" s="1"/>
  <c r="K302" i="3"/>
  <c r="J302" i="3" s="1"/>
  <c r="L297" i="3"/>
  <c r="K297" i="3" s="1"/>
  <c r="L296" i="3"/>
  <c r="L263" i="3"/>
  <c r="L280" i="3" s="1"/>
  <c r="M242" i="3"/>
  <c r="L224" i="3"/>
  <c r="L134" i="3"/>
  <c r="K171" i="3"/>
  <c r="K154" i="3"/>
  <c r="K116" i="3"/>
  <c r="K140" i="2"/>
  <c r="J160" i="2"/>
  <c r="J177" i="2" s="1"/>
  <c r="J123" i="2"/>
  <c r="K142" i="2"/>
  <c r="L139" i="3"/>
  <c r="K159" i="3"/>
  <c r="K176" i="3"/>
  <c r="K121" i="3"/>
  <c r="K139" i="3" s="1"/>
  <c r="K163" i="2"/>
  <c r="L143" i="2"/>
  <c r="K180" i="2"/>
  <c r="K126" i="2"/>
  <c r="J162" i="2" s="1"/>
  <c r="J179" i="2" s="1"/>
  <c r="L287" i="3"/>
  <c r="L270" i="3"/>
  <c r="M249" i="3"/>
  <c r="L231" i="3"/>
  <c r="L249" i="3" s="1"/>
  <c r="J103" i="2"/>
  <c r="I103" i="2" s="1"/>
  <c r="J102" i="2"/>
  <c r="L109" i="4"/>
  <c r="K94" i="4"/>
  <c r="K102" i="3"/>
  <c r="K111" i="4" s="1"/>
  <c r="L111" i="4"/>
  <c r="K110" i="2"/>
  <c r="K109" i="2"/>
  <c r="J109" i="2" s="1"/>
  <c r="M243" i="3"/>
  <c r="L264" i="3"/>
  <c r="L281" i="3" s="1"/>
  <c r="L225" i="3"/>
  <c r="M244" i="3"/>
  <c r="L265" i="3"/>
  <c r="L282" i="3" s="1"/>
  <c r="L226" i="3"/>
  <c r="L145" i="2"/>
  <c r="K182" i="2"/>
  <c r="K165" i="2"/>
  <c r="K128" i="2"/>
  <c r="K145" i="2" s="1"/>
  <c r="M241" i="3"/>
  <c r="L262" i="3"/>
  <c r="L279" i="3" s="1"/>
  <c r="L223" i="3"/>
  <c r="M247" i="3"/>
  <c r="L285" i="3"/>
  <c r="L268" i="3"/>
  <c r="L229" i="3"/>
  <c r="K155" i="3"/>
  <c r="K172" i="3" s="1"/>
  <c r="L135" i="3"/>
  <c r="K117" i="3"/>
  <c r="L110" i="4"/>
  <c r="K95" i="4"/>
  <c r="L103" i="4"/>
  <c r="K88" i="4"/>
  <c r="M248" i="3"/>
  <c r="L269" i="3"/>
  <c r="L286" i="3"/>
  <c r="L230" i="3"/>
  <c r="K295" i="3"/>
  <c r="K100" i="3"/>
  <c r="K162" i="2"/>
  <c r="K179" i="2" s="1"/>
  <c r="L299" i="3"/>
  <c r="K299" i="3" s="1"/>
  <c r="J299" i="3" s="1"/>
  <c r="I299" i="3" s="1"/>
  <c r="J108" i="2" l="1"/>
  <c r="I108" i="2" s="1"/>
  <c r="D41" i="6"/>
  <c r="A42" i="6"/>
  <c r="B41" i="6"/>
  <c r="C41" i="6"/>
  <c r="J301" i="3"/>
  <c r="I301" i="3" s="1"/>
  <c r="K296" i="3"/>
  <c r="J296" i="3" s="1"/>
  <c r="J100" i="3"/>
  <c r="J99" i="3"/>
  <c r="K110" i="4"/>
  <c r="J95" i="4"/>
  <c r="K107" i="4"/>
  <c r="J92" i="4"/>
  <c r="L239" i="3"/>
  <c r="K260" i="3"/>
  <c r="K277" i="3"/>
  <c r="K221" i="3"/>
  <c r="J139" i="2"/>
  <c r="I159" i="2"/>
  <c r="I176" i="2" s="1"/>
  <c r="I122" i="2"/>
  <c r="K105" i="4"/>
  <c r="J90" i="4"/>
  <c r="J141" i="2"/>
  <c r="K138" i="2"/>
  <c r="J158" i="2"/>
  <c r="J175" i="2" s="1"/>
  <c r="J121" i="2"/>
  <c r="K106" i="4"/>
  <c r="J91" i="4"/>
  <c r="K108" i="4"/>
  <c r="J93" i="4"/>
  <c r="I300" i="3"/>
  <c r="H300" i="3" s="1"/>
  <c r="J297" i="3"/>
  <c r="I297" i="3" s="1"/>
  <c r="H297" i="3" s="1"/>
  <c r="G297" i="3" s="1"/>
  <c r="J101" i="3"/>
  <c r="I107" i="2"/>
  <c r="H107" i="2" s="1"/>
  <c r="I102" i="2"/>
  <c r="H102" i="2" s="1"/>
  <c r="I101" i="2"/>
  <c r="K269" i="3"/>
  <c r="K286" i="3"/>
  <c r="L248" i="3"/>
  <c r="K230" i="3"/>
  <c r="K248" i="3" s="1"/>
  <c r="K103" i="4"/>
  <c r="J88" i="4"/>
  <c r="K135" i="3"/>
  <c r="J155" i="3"/>
  <c r="J172" i="3" s="1"/>
  <c r="J117" i="3"/>
  <c r="L247" i="3"/>
  <c r="K285" i="3"/>
  <c r="K268" i="3"/>
  <c r="K229" i="3"/>
  <c r="K262" i="3"/>
  <c r="K279" i="3" s="1"/>
  <c r="L241" i="3"/>
  <c r="K223" i="3"/>
  <c r="L244" i="3"/>
  <c r="K265" i="3"/>
  <c r="K282" i="3"/>
  <c r="K226" i="3"/>
  <c r="K264" i="3"/>
  <c r="K281" i="3" s="1"/>
  <c r="L243" i="3"/>
  <c r="K225" i="3"/>
  <c r="K109" i="4"/>
  <c r="J94" i="4"/>
  <c r="J163" i="2"/>
  <c r="K143" i="2"/>
  <c r="J180" i="2"/>
  <c r="J126" i="2"/>
  <c r="J140" i="2"/>
  <c r="I160" i="2"/>
  <c r="I177" i="2" s="1"/>
  <c r="I123" i="2"/>
  <c r="K134" i="3"/>
  <c r="J154" i="3"/>
  <c r="J171" i="3" s="1"/>
  <c r="J116" i="3"/>
  <c r="L242" i="3"/>
  <c r="K263" i="3"/>
  <c r="K280" i="3" s="1"/>
  <c r="K224" i="3"/>
  <c r="J95" i="3"/>
  <c r="I95" i="3" s="1"/>
  <c r="H95" i="3" s="1"/>
  <c r="G95" i="3" s="1"/>
  <c r="J94" i="3"/>
  <c r="J151" i="3"/>
  <c r="J168" i="3" s="1"/>
  <c r="K131" i="3"/>
  <c r="J113" i="3"/>
  <c r="J153" i="3"/>
  <c r="J170" i="3" s="1"/>
  <c r="K133" i="3"/>
  <c r="J115" i="3"/>
  <c r="J156" i="2"/>
  <c r="J173" i="2" s="1"/>
  <c r="K136" i="2"/>
  <c r="J119" i="2"/>
  <c r="J158" i="3"/>
  <c r="K138" i="3"/>
  <c r="J175" i="3"/>
  <c r="J120" i="3"/>
  <c r="J138" i="3" s="1"/>
  <c r="K132" i="3"/>
  <c r="J152" i="3"/>
  <c r="J169" i="3" s="1"/>
  <c r="J114" i="3"/>
  <c r="L245" i="3"/>
  <c r="K266" i="3"/>
  <c r="K283" i="3"/>
  <c r="K227" i="3"/>
  <c r="K104" i="4"/>
  <c r="J89" i="4"/>
  <c r="K102" i="4"/>
  <c r="J87" i="4"/>
  <c r="K144" i="2"/>
  <c r="J181" i="2"/>
  <c r="J164" i="2"/>
  <c r="J127" i="2"/>
  <c r="J144" i="2" s="1"/>
  <c r="K267" i="3"/>
  <c r="K284" i="3"/>
  <c r="L246" i="3"/>
  <c r="K228" i="3"/>
  <c r="K261" i="3"/>
  <c r="K278" i="3" s="1"/>
  <c r="L240" i="3"/>
  <c r="K222" i="3"/>
  <c r="K137" i="3"/>
  <c r="J174" i="3"/>
  <c r="J157" i="3"/>
  <c r="J119" i="3"/>
  <c r="K137" i="2"/>
  <c r="J157" i="2"/>
  <c r="J174" i="2"/>
  <c r="J120" i="2"/>
  <c r="J106" i="2"/>
  <c r="I106" i="2" s="1"/>
  <c r="J105" i="2"/>
  <c r="K136" i="3"/>
  <c r="J156" i="3"/>
  <c r="J173" i="3" s="1"/>
  <c r="J118" i="3"/>
  <c r="J150" i="3"/>
  <c r="J167" i="3"/>
  <c r="K130" i="3"/>
  <c r="J112" i="3"/>
  <c r="K298" i="3"/>
  <c r="J298" i="3" s="1"/>
  <c r="I298" i="3" s="1"/>
  <c r="H298" i="3" s="1"/>
  <c r="J125" i="2"/>
  <c r="I161" i="2" s="1"/>
  <c r="I178" i="2" s="1"/>
  <c r="J294" i="3"/>
  <c r="J295" i="3" l="1"/>
  <c r="I295" i="3" s="1"/>
  <c r="I296" i="3"/>
  <c r="H296" i="3" s="1"/>
  <c r="G296" i="3" s="1"/>
  <c r="F296" i="3" s="1"/>
  <c r="D42" i="6"/>
  <c r="A43" i="6"/>
  <c r="B42" i="6"/>
  <c r="C42" i="6"/>
  <c r="I100" i="3"/>
  <c r="I157" i="2"/>
  <c r="I174" i="2" s="1"/>
  <c r="J137" i="2"/>
  <c r="I120" i="2"/>
  <c r="K240" i="3"/>
  <c r="J261" i="3"/>
  <c r="J278" i="3" s="1"/>
  <c r="J222" i="3"/>
  <c r="J102" i="4"/>
  <c r="I87" i="4"/>
  <c r="J266" i="3"/>
  <c r="J283" i="3"/>
  <c r="K245" i="3"/>
  <c r="J227" i="3"/>
  <c r="I153" i="3"/>
  <c r="J133" i="3"/>
  <c r="I170" i="3"/>
  <c r="I115" i="3"/>
  <c r="K243" i="3"/>
  <c r="J264" i="3"/>
  <c r="J281" i="3"/>
  <c r="J225" i="3"/>
  <c r="J265" i="3"/>
  <c r="J282" i="3" s="1"/>
  <c r="K244" i="3"/>
  <c r="J226" i="3"/>
  <c r="K247" i="3"/>
  <c r="J268" i="3"/>
  <c r="J285" i="3"/>
  <c r="J229" i="3"/>
  <c r="J247" i="3" s="1"/>
  <c r="J103" i="4"/>
  <c r="I88" i="4"/>
  <c r="J106" i="4"/>
  <c r="I91" i="4"/>
  <c r="K239" i="3"/>
  <c r="J260" i="3"/>
  <c r="J277" i="3"/>
  <c r="J221" i="3"/>
  <c r="J107" i="4"/>
  <c r="I92" i="4"/>
  <c r="I99" i="3"/>
  <c r="H99" i="3" s="1"/>
  <c r="I98" i="3"/>
  <c r="J130" i="3"/>
  <c r="I150" i="3"/>
  <c r="I167" i="3" s="1"/>
  <c r="I112" i="3"/>
  <c r="J136" i="3"/>
  <c r="I156" i="3"/>
  <c r="I173" i="3" s="1"/>
  <c r="I118" i="3"/>
  <c r="I105" i="2"/>
  <c r="H105" i="2" s="1"/>
  <c r="I104" i="2"/>
  <c r="J104" i="4"/>
  <c r="I89" i="4"/>
  <c r="K242" i="3"/>
  <c r="J263" i="3"/>
  <c r="J280" i="3" s="1"/>
  <c r="J224" i="3"/>
  <c r="I154" i="3"/>
  <c r="J134" i="3"/>
  <c r="I171" i="3"/>
  <c r="I116" i="3"/>
  <c r="I140" i="2"/>
  <c r="J143" i="2"/>
  <c r="I180" i="2"/>
  <c r="I163" i="2"/>
  <c r="I126" i="2"/>
  <c r="I143" i="2" s="1"/>
  <c r="J109" i="4"/>
  <c r="I94" i="4"/>
  <c r="I109" i="4" s="1"/>
  <c r="H299" i="3"/>
  <c r="G299" i="3" s="1"/>
  <c r="H101" i="2"/>
  <c r="G101" i="2" s="1"/>
  <c r="I174" i="3"/>
  <c r="I157" i="3"/>
  <c r="J137" i="3"/>
  <c r="I119" i="3"/>
  <c r="I137" i="3" s="1"/>
  <c r="J267" i="3"/>
  <c r="K246" i="3"/>
  <c r="J284" i="3"/>
  <c r="J228" i="3"/>
  <c r="J132" i="3"/>
  <c r="I152" i="3"/>
  <c r="I169" i="3" s="1"/>
  <c r="I114" i="3"/>
  <c r="I156" i="2"/>
  <c r="I173" i="2" s="1"/>
  <c r="J136" i="2"/>
  <c r="I119" i="2"/>
  <c r="I168" i="3"/>
  <c r="J131" i="3"/>
  <c r="I151" i="3"/>
  <c r="I113" i="3"/>
  <c r="I94" i="3"/>
  <c r="H94" i="3" s="1"/>
  <c r="G94" i="3" s="1"/>
  <c r="F94" i="3" s="1"/>
  <c r="I93" i="3"/>
  <c r="J262" i="3"/>
  <c r="K241" i="3"/>
  <c r="J279" i="3"/>
  <c r="J223" i="3"/>
  <c r="J135" i="3"/>
  <c r="I155" i="3"/>
  <c r="I172" i="3" s="1"/>
  <c r="I117" i="3"/>
  <c r="H159" i="2"/>
  <c r="H176" i="2" s="1"/>
  <c r="I139" i="2"/>
  <c r="H122" i="2"/>
  <c r="J142" i="2"/>
  <c r="I162" i="2"/>
  <c r="I179" i="2" s="1"/>
  <c r="I125" i="2"/>
  <c r="J108" i="4"/>
  <c r="I93" i="4"/>
  <c r="J138" i="2"/>
  <c r="I158" i="2"/>
  <c r="I175" i="2" s="1"/>
  <c r="I121" i="2"/>
  <c r="J105" i="4"/>
  <c r="I90" i="4"/>
  <c r="H106" i="2"/>
  <c r="G106" i="2" s="1"/>
  <c r="H295" i="3"/>
  <c r="G295" i="3" s="1"/>
  <c r="F295" i="3" s="1"/>
  <c r="E295" i="3" s="1"/>
  <c r="I124" i="2"/>
  <c r="H160" i="2" s="1"/>
  <c r="H177" i="2" s="1"/>
  <c r="J110" i="4"/>
  <c r="I294" i="3" l="1"/>
  <c r="H294" i="3" s="1"/>
  <c r="G294" i="3" s="1"/>
  <c r="F294" i="3" s="1"/>
  <c r="E294" i="3" s="1"/>
  <c r="D294" i="3" s="1"/>
  <c r="B43" i="6"/>
  <c r="D43" i="6"/>
  <c r="A44" i="6"/>
  <c r="C43" i="6"/>
  <c r="I108" i="4"/>
  <c r="H93" i="4"/>
  <c r="H108" i="4" s="1"/>
  <c r="H156" i="2"/>
  <c r="I136" i="2"/>
  <c r="H173" i="2"/>
  <c r="H119" i="2"/>
  <c r="J246" i="3"/>
  <c r="I267" i="3"/>
  <c r="I284" i="3"/>
  <c r="I228" i="3"/>
  <c r="I246" i="3" s="1"/>
  <c r="H154" i="3"/>
  <c r="I134" i="3"/>
  <c r="H171" i="3"/>
  <c r="H116" i="3"/>
  <c r="I104" i="4"/>
  <c r="H89" i="4"/>
  <c r="I130" i="3"/>
  <c r="H167" i="3"/>
  <c r="H150" i="3"/>
  <c r="H112" i="3"/>
  <c r="I260" i="3"/>
  <c r="I277" i="3" s="1"/>
  <c r="J239" i="3"/>
  <c r="I221" i="3"/>
  <c r="I265" i="3"/>
  <c r="I282" i="3" s="1"/>
  <c r="J244" i="3"/>
  <c r="I226" i="3"/>
  <c r="J243" i="3"/>
  <c r="I264" i="3"/>
  <c r="I281" i="3" s="1"/>
  <c r="I225" i="3"/>
  <c r="I133" i="3"/>
  <c r="H170" i="3"/>
  <c r="H153" i="3"/>
  <c r="H115" i="3"/>
  <c r="I266" i="3"/>
  <c r="I283" i="3"/>
  <c r="J245" i="3"/>
  <c r="I227" i="3"/>
  <c r="I102" i="4"/>
  <c r="H87" i="4"/>
  <c r="I105" i="4"/>
  <c r="H90" i="4"/>
  <c r="I142" i="2"/>
  <c r="H162" i="2"/>
  <c r="H179" i="2" s="1"/>
  <c r="H125" i="2"/>
  <c r="H142" i="2" s="1"/>
  <c r="H139" i="2"/>
  <c r="H155" i="3"/>
  <c r="H172" i="3" s="1"/>
  <c r="I135" i="3"/>
  <c r="H117" i="3"/>
  <c r="J241" i="3"/>
  <c r="I262" i="3"/>
  <c r="I279" i="3" s="1"/>
  <c r="I223" i="3"/>
  <c r="H93" i="3"/>
  <c r="G93" i="3" s="1"/>
  <c r="F93" i="3" s="1"/>
  <c r="E93" i="3" s="1"/>
  <c r="G105" i="2"/>
  <c r="F105" i="2" s="1"/>
  <c r="I141" i="2"/>
  <c r="H178" i="2"/>
  <c r="H161" i="2"/>
  <c r="H124" i="2"/>
  <c r="H158" i="2"/>
  <c r="H175" i="2" s="1"/>
  <c r="I138" i="2"/>
  <c r="H121" i="2"/>
  <c r="I131" i="3"/>
  <c r="H151" i="3"/>
  <c r="H168" i="3" s="1"/>
  <c r="H113" i="3"/>
  <c r="I132" i="3"/>
  <c r="H152" i="3"/>
  <c r="H169" i="3" s="1"/>
  <c r="H114" i="3"/>
  <c r="I263" i="3"/>
  <c r="I280" i="3" s="1"/>
  <c r="J242" i="3"/>
  <c r="I224" i="3"/>
  <c r="H156" i="3"/>
  <c r="H173" i="3" s="1"/>
  <c r="I136" i="3"/>
  <c r="H118" i="3"/>
  <c r="H136" i="3" s="1"/>
  <c r="H98" i="3"/>
  <c r="G98" i="3" s="1"/>
  <c r="H97" i="3"/>
  <c r="I106" i="4"/>
  <c r="H91" i="4"/>
  <c r="H104" i="2"/>
  <c r="G104" i="2" s="1"/>
  <c r="H103" i="2"/>
  <c r="I107" i="4"/>
  <c r="H92" i="4"/>
  <c r="I103" i="4"/>
  <c r="H88" i="4"/>
  <c r="J240" i="3"/>
  <c r="I261" i="3"/>
  <c r="I278" i="3" s="1"/>
  <c r="I222" i="3"/>
  <c r="I137" i="2"/>
  <c r="H157" i="2"/>
  <c r="H174" i="2" s="1"/>
  <c r="H120" i="2"/>
  <c r="H123" i="2"/>
  <c r="G159" i="2" s="1"/>
  <c r="G176" i="2" s="1"/>
  <c r="G298" i="3"/>
  <c r="F104" i="2" l="1"/>
  <c r="E104" i="2" s="1"/>
  <c r="B44" i="6"/>
  <c r="A45" i="6"/>
  <c r="D44" i="6"/>
  <c r="C44" i="6"/>
  <c r="H137" i="2"/>
  <c r="G157" i="2"/>
  <c r="G174" i="2" s="1"/>
  <c r="G120" i="2"/>
  <c r="H103" i="4"/>
  <c r="G88" i="4"/>
  <c r="G103" i="2"/>
  <c r="F103" i="2" s="1"/>
  <c r="E103" i="2" s="1"/>
  <c r="D103" i="2" s="1"/>
  <c r="G102" i="2"/>
  <c r="G97" i="3"/>
  <c r="F97" i="3" s="1"/>
  <c r="G96" i="3"/>
  <c r="H134" i="3"/>
  <c r="G154" i="3"/>
  <c r="G171" i="3" s="1"/>
  <c r="G116" i="3"/>
  <c r="H136" i="2"/>
  <c r="G156" i="2"/>
  <c r="G173" i="2" s="1"/>
  <c r="G119" i="2"/>
  <c r="F298" i="3"/>
  <c r="F297" i="3"/>
  <c r="H278" i="3"/>
  <c r="I240" i="3"/>
  <c r="H261" i="3"/>
  <c r="H222" i="3"/>
  <c r="H102" i="4"/>
  <c r="G87" i="4"/>
  <c r="G160" i="2"/>
  <c r="G177" i="2" s="1"/>
  <c r="H140" i="2"/>
  <c r="G123" i="2"/>
  <c r="H107" i="4"/>
  <c r="G92" i="4"/>
  <c r="G107" i="4" s="1"/>
  <c r="H106" i="4"/>
  <c r="G91" i="4"/>
  <c r="H263" i="3"/>
  <c r="H280" i="3"/>
  <c r="I242" i="3"/>
  <c r="H224" i="3"/>
  <c r="H132" i="3"/>
  <c r="G152" i="3"/>
  <c r="G169" i="3" s="1"/>
  <c r="G114" i="3"/>
  <c r="H131" i="3"/>
  <c r="G151" i="3"/>
  <c r="G168" i="3" s="1"/>
  <c r="G113" i="3"/>
  <c r="H138" i="2"/>
  <c r="G158" i="2"/>
  <c r="G175" i="2" s="1"/>
  <c r="G121" i="2"/>
  <c r="G161" i="2"/>
  <c r="G178" i="2" s="1"/>
  <c r="H141" i="2"/>
  <c r="G124" i="2"/>
  <c r="G141" i="2" s="1"/>
  <c r="H262" i="3"/>
  <c r="H279" i="3"/>
  <c r="I241" i="3"/>
  <c r="H223" i="3"/>
  <c r="G155" i="3"/>
  <c r="G172" i="3" s="1"/>
  <c r="H135" i="3"/>
  <c r="G117" i="3"/>
  <c r="G135" i="3" s="1"/>
  <c r="H105" i="4"/>
  <c r="G90" i="4"/>
  <c r="H266" i="3"/>
  <c r="I245" i="3"/>
  <c r="H283" i="3"/>
  <c r="H227" i="3"/>
  <c r="H245" i="3" s="1"/>
  <c r="G170" i="3"/>
  <c r="H133" i="3"/>
  <c r="G153" i="3"/>
  <c r="G115" i="3"/>
  <c r="I243" i="3"/>
  <c r="H264" i="3"/>
  <c r="H281" i="3" s="1"/>
  <c r="H225" i="3"/>
  <c r="I244" i="3"/>
  <c r="H265" i="3"/>
  <c r="H282" i="3" s="1"/>
  <c r="H226" i="3"/>
  <c r="I239" i="3"/>
  <c r="H260" i="3"/>
  <c r="H277" i="3" s="1"/>
  <c r="H221" i="3"/>
  <c r="G150" i="3"/>
  <c r="G167" i="3" s="1"/>
  <c r="H130" i="3"/>
  <c r="G112" i="3"/>
  <c r="H104" i="4"/>
  <c r="G89" i="4"/>
  <c r="G122" i="2"/>
  <c r="D45" i="6" l="1"/>
  <c r="A46" i="6"/>
  <c r="B45" i="6"/>
  <c r="C45" i="6"/>
  <c r="F150" i="3"/>
  <c r="F167" i="3" s="1"/>
  <c r="G130" i="3"/>
  <c r="F112" i="3"/>
  <c r="H244" i="3"/>
  <c r="G265" i="3"/>
  <c r="G282" i="3" s="1"/>
  <c r="G226" i="3"/>
  <c r="G244" i="3" s="1"/>
  <c r="G105" i="4"/>
  <c r="F90" i="4"/>
  <c r="G261" i="3"/>
  <c r="G278" i="3" s="1"/>
  <c r="H240" i="3"/>
  <c r="G222" i="3"/>
  <c r="F156" i="2"/>
  <c r="F173" i="2"/>
  <c r="G136" i="2"/>
  <c r="F119" i="2"/>
  <c r="F96" i="3"/>
  <c r="E96" i="3" s="1"/>
  <c r="F95" i="3"/>
  <c r="G104" i="4"/>
  <c r="F89" i="4"/>
  <c r="G262" i="3"/>
  <c r="G279" i="3" s="1"/>
  <c r="H241" i="3"/>
  <c r="G223" i="3"/>
  <c r="G138" i="2"/>
  <c r="F158" i="2"/>
  <c r="F175" i="2"/>
  <c r="F121" i="2"/>
  <c r="F151" i="3"/>
  <c r="G131" i="3"/>
  <c r="F168" i="3"/>
  <c r="F113" i="3"/>
  <c r="G132" i="3"/>
  <c r="F152" i="3"/>
  <c r="F169" i="3" s="1"/>
  <c r="F114" i="3"/>
  <c r="H242" i="3"/>
  <c r="G263" i="3"/>
  <c r="G280" i="3" s="1"/>
  <c r="G224" i="3"/>
  <c r="G106" i="4"/>
  <c r="F91" i="4"/>
  <c r="F106" i="4" s="1"/>
  <c r="F177" i="2"/>
  <c r="F160" i="2"/>
  <c r="G140" i="2"/>
  <c r="F123" i="2"/>
  <c r="F140" i="2" s="1"/>
  <c r="G102" i="4"/>
  <c r="F87" i="4"/>
  <c r="H239" i="3"/>
  <c r="G260" i="3"/>
  <c r="G277" i="3" s="1"/>
  <c r="G221" i="3"/>
  <c r="G264" i="3"/>
  <c r="H243" i="3"/>
  <c r="G281" i="3"/>
  <c r="G225" i="3"/>
  <c r="F153" i="3"/>
  <c r="F170" i="3" s="1"/>
  <c r="G133" i="3"/>
  <c r="F115" i="3"/>
  <c r="E297" i="3"/>
  <c r="E296" i="3"/>
  <c r="G134" i="3"/>
  <c r="F154" i="3"/>
  <c r="F171" i="3" s="1"/>
  <c r="F116" i="3"/>
  <c r="F134" i="3" s="1"/>
  <c r="G103" i="4"/>
  <c r="F88" i="4"/>
  <c r="G139" i="2"/>
  <c r="F159" i="2"/>
  <c r="F176" i="2" s="1"/>
  <c r="F122" i="2"/>
  <c r="F102" i="2"/>
  <c r="E102" i="2" s="1"/>
  <c r="D102" i="2" s="1"/>
  <c r="C102" i="2" s="1"/>
  <c r="F101" i="2"/>
  <c r="E101" i="2" s="1"/>
  <c r="D101" i="2" s="1"/>
  <c r="C101" i="2" s="1"/>
  <c r="B101" i="2" s="1"/>
  <c r="G137" i="2"/>
  <c r="F157" i="2"/>
  <c r="F174" i="2" s="1"/>
  <c r="F120" i="2"/>
  <c r="D46" i="6" l="1"/>
  <c r="A47" i="6"/>
  <c r="B46" i="6"/>
  <c r="C46" i="6"/>
  <c r="E159" i="2"/>
  <c r="E176" i="2" s="1"/>
  <c r="F139" i="2"/>
  <c r="E122" i="2"/>
  <c r="E139" i="2" s="1"/>
  <c r="E153" i="3"/>
  <c r="E170" i="3" s="1"/>
  <c r="F133" i="3"/>
  <c r="E115" i="3"/>
  <c r="E133" i="3" s="1"/>
  <c r="G239" i="3"/>
  <c r="F260" i="3"/>
  <c r="F277" i="3" s="1"/>
  <c r="F221" i="3"/>
  <c r="G242" i="3"/>
  <c r="F263" i="3"/>
  <c r="F280" i="3" s="1"/>
  <c r="F224" i="3"/>
  <c r="F132" i="3"/>
  <c r="E152" i="3"/>
  <c r="E169" i="3" s="1"/>
  <c r="E114" i="3"/>
  <c r="E168" i="3"/>
  <c r="F131" i="3"/>
  <c r="E151" i="3"/>
  <c r="E113" i="3"/>
  <c r="F138" i="2"/>
  <c r="E158" i="2"/>
  <c r="E175" i="2" s="1"/>
  <c r="E121" i="2"/>
  <c r="F262" i="3"/>
  <c r="F279" i="3" s="1"/>
  <c r="G241" i="3"/>
  <c r="F223" i="3"/>
  <c r="F104" i="4"/>
  <c r="E89" i="4"/>
  <c r="E156" i="2"/>
  <c r="E173" i="2" s="1"/>
  <c r="F136" i="2"/>
  <c r="E119" i="2"/>
  <c r="G240" i="3"/>
  <c r="F261" i="3"/>
  <c r="F278" i="3"/>
  <c r="F222" i="3"/>
  <c r="F105" i="4"/>
  <c r="E90" i="4"/>
  <c r="E105" i="4" s="1"/>
  <c r="F103" i="4"/>
  <c r="E88" i="4"/>
  <c r="G243" i="3"/>
  <c r="F264" i="3"/>
  <c r="F281" i="3" s="1"/>
  <c r="F225" i="3"/>
  <c r="F243" i="3" s="1"/>
  <c r="F102" i="4"/>
  <c r="E87" i="4"/>
  <c r="E157" i="2"/>
  <c r="E174" i="2" s="1"/>
  <c r="F137" i="2"/>
  <c r="E120" i="2"/>
  <c r="D296" i="3"/>
  <c r="D295" i="3"/>
  <c r="E95" i="3"/>
  <c r="D95" i="3" s="1"/>
  <c r="E94" i="3"/>
  <c r="F130" i="3"/>
  <c r="E150" i="3"/>
  <c r="E167" i="3" s="1"/>
  <c r="E112" i="3"/>
  <c r="B47" i="6" l="1"/>
  <c r="A48" i="6"/>
  <c r="D47" i="6"/>
  <c r="C47" i="6"/>
  <c r="E103" i="4"/>
  <c r="D88" i="4"/>
  <c r="F240" i="3"/>
  <c r="E261" i="3"/>
  <c r="E278" i="3" s="1"/>
  <c r="E222" i="3"/>
  <c r="D156" i="2"/>
  <c r="D173" i="2" s="1"/>
  <c r="E136" i="2"/>
  <c r="D119" i="2"/>
  <c r="E104" i="4"/>
  <c r="D89" i="4"/>
  <c r="D104" i="4" s="1"/>
  <c r="C295" i="3"/>
  <c r="C294" i="3"/>
  <c r="B294" i="3" s="1"/>
  <c r="D14" i="3" s="1"/>
  <c r="E130" i="3"/>
  <c r="D150" i="3"/>
  <c r="D167" i="3" s="1"/>
  <c r="D112" i="3"/>
  <c r="D94" i="3"/>
  <c r="C94" i="3" s="1"/>
  <c r="D93" i="3"/>
  <c r="E137" i="2"/>
  <c r="D157" i="2"/>
  <c r="D174" i="2" s="1"/>
  <c r="D120" i="2"/>
  <c r="E102" i="4"/>
  <c r="D87" i="4"/>
  <c r="F241" i="3"/>
  <c r="E262" i="3"/>
  <c r="E279" i="3" s="1"/>
  <c r="E223" i="3"/>
  <c r="D175" i="2"/>
  <c r="E138" i="2"/>
  <c r="D158" i="2"/>
  <c r="D121" i="2"/>
  <c r="D138" i="2" s="1"/>
  <c r="D168" i="3"/>
  <c r="E131" i="3"/>
  <c r="D151" i="3"/>
  <c r="D113" i="3"/>
  <c r="E132" i="3"/>
  <c r="D152" i="3"/>
  <c r="D169" i="3" s="1"/>
  <c r="D114" i="3"/>
  <c r="D132" i="3" s="1"/>
  <c r="E263" i="3"/>
  <c r="E280" i="3" s="1"/>
  <c r="F242" i="3"/>
  <c r="E224" i="3"/>
  <c r="E242" i="3" s="1"/>
  <c r="E260" i="3"/>
  <c r="E277" i="3" s="1"/>
  <c r="F239" i="3"/>
  <c r="E221" i="3"/>
  <c r="B48" i="6" l="1"/>
  <c r="D48" i="6"/>
  <c r="A49" i="6"/>
  <c r="C48" i="6"/>
  <c r="D277" i="3"/>
  <c r="D260" i="3"/>
  <c r="E239" i="3"/>
  <c r="D221" i="3"/>
  <c r="D102" i="4"/>
  <c r="C87" i="4"/>
  <c r="C150" i="3"/>
  <c r="C167" i="3" s="1"/>
  <c r="D130" i="3"/>
  <c r="C112" i="3"/>
  <c r="D261" i="3"/>
  <c r="D278" i="3" s="1"/>
  <c r="E240" i="3"/>
  <c r="D222" i="3"/>
  <c r="D131" i="3"/>
  <c r="C151" i="3"/>
  <c r="C168" i="3"/>
  <c r="C113" i="3"/>
  <c r="C131" i="3" s="1"/>
  <c r="E241" i="3"/>
  <c r="D262" i="3"/>
  <c r="D279" i="3" s="1"/>
  <c r="D223" i="3"/>
  <c r="D241" i="3" s="1"/>
  <c r="D136" i="2"/>
  <c r="C156" i="2"/>
  <c r="C173" i="2" s="1"/>
  <c r="C119" i="2"/>
  <c r="D103" i="4"/>
  <c r="C88" i="4"/>
  <c r="C103" i="4" s="1"/>
  <c r="D137" i="2"/>
  <c r="C157" i="2"/>
  <c r="C174" i="2" s="1"/>
  <c r="C120" i="2"/>
  <c r="C137" i="2" s="1"/>
  <c r="C93" i="3"/>
  <c r="B93" i="3" s="1"/>
  <c r="D49" i="6" l="1"/>
  <c r="A50" i="6"/>
  <c r="B49" i="6"/>
  <c r="C49" i="6"/>
  <c r="C136" i="2"/>
  <c r="B156" i="2"/>
  <c r="B173" i="2" s="1"/>
  <c r="B119" i="2"/>
  <c r="C261" i="3"/>
  <c r="C278" i="3" s="1"/>
  <c r="D240" i="3"/>
  <c r="C222" i="3"/>
  <c r="C240" i="3" s="1"/>
  <c r="C102" i="4"/>
  <c r="B87" i="4"/>
  <c r="B150" i="3"/>
  <c r="B167" i="3" s="1"/>
  <c r="C130" i="3"/>
  <c r="B112" i="3"/>
  <c r="B130" i="3" s="1"/>
  <c r="D239" i="3"/>
  <c r="C260" i="3"/>
  <c r="C277" i="3"/>
  <c r="C221" i="3"/>
  <c r="A51" i="6" l="1"/>
  <c r="D50" i="6"/>
  <c r="B50" i="6"/>
  <c r="C50" i="6"/>
  <c r="B260" i="3"/>
  <c r="B277" i="3" s="1"/>
  <c r="D17" i="3" s="1"/>
  <c r="C239" i="3"/>
  <c r="B221" i="3"/>
  <c r="D14" i="4"/>
  <c r="B102" i="4"/>
  <c r="D14" i="2"/>
  <c r="B136" i="2"/>
  <c r="B51" i="6" l="1"/>
  <c r="D51" i="6"/>
  <c r="A52" i="6"/>
  <c r="C51" i="6"/>
  <c r="D15" i="3"/>
  <c r="B239" i="3"/>
  <c r="E16" i="3" s="1"/>
  <c r="B52" i="6" l="1"/>
  <c r="D52" i="6"/>
  <c r="A53" i="6"/>
  <c r="C52" i="6"/>
  <c r="D53" i="6" l="1"/>
  <c r="A54" i="6"/>
  <c r="B53" i="6"/>
  <c r="C53" i="6"/>
  <c r="A55" i="6" l="1"/>
  <c r="D54" i="6"/>
  <c r="B54" i="6"/>
  <c r="C54" i="6"/>
  <c r="B55" i="6" l="1"/>
  <c r="D55" i="6"/>
  <c r="A56" i="6"/>
  <c r="C55" i="6"/>
  <c r="B56" i="6" l="1"/>
  <c r="A57" i="6"/>
  <c r="D56" i="6"/>
  <c r="C56" i="6"/>
  <c r="D57" i="6" l="1"/>
  <c r="A58" i="6"/>
  <c r="B57" i="6"/>
  <c r="C57" i="6"/>
  <c r="A59" i="6" l="1"/>
  <c r="D58" i="6"/>
  <c r="B58" i="6"/>
  <c r="C58" i="6"/>
  <c r="B59" i="6" l="1"/>
  <c r="A60" i="6"/>
  <c r="D59" i="6"/>
  <c r="C59" i="6"/>
  <c r="B60" i="6" l="1"/>
  <c r="D60" i="6"/>
  <c r="A61" i="6"/>
  <c r="C60" i="6"/>
  <c r="D61" i="6" l="1"/>
  <c r="A62" i="6"/>
  <c r="B61" i="6"/>
  <c r="C61" i="6"/>
  <c r="A63" i="6" l="1"/>
  <c r="D62" i="6"/>
  <c r="B62" i="6"/>
  <c r="C62" i="6"/>
  <c r="B63" i="6" l="1"/>
  <c r="D63" i="6"/>
  <c r="A64" i="6"/>
  <c r="C63" i="6"/>
  <c r="B64" i="6" l="1"/>
  <c r="D64" i="6"/>
  <c r="A65" i="6"/>
  <c r="C64" i="6"/>
  <c r="D65" i="6" l="1"/>
  <c r="A66" i="6"/>
  <c r="B65" i="6"/>
  <c r="C65" i="6"/>
  <c r="A67" i="6" l="1"/>
  <c r="D66" i="6"/>
  <c r="B66" i="6"/>
  <c r="C66" i="6"/>
  <c r="B67" i="6" l="1"/>
  <c r="D67" i="6"/>
  <c r="A68" i="6"/>
  <c r="C67" i="6"/>
  <c r="B68" i="6" l="1"/>
  <c r="A69" i="6"/>
  <c r="D68" i="6"/>
  <c r="C68" i="6"/>
  <c r="D69" i="6" l="1"/>
  <c r="A70" i="6"/>
  <c r="B69" i="6"/>
  <c r="C69" i="6"/>
  <c r="D70" i="6" l="1"/>
  <c r="A71" i="6"/>
  <c r="B70" i="6"/>
  <c r="C70" i="6"/>
  <c r="B71" i="6" l="1"/>
  <c r="D71" i="6"/>
  <c r="A72" i="6"/>
  <c r="C71" i="6"/>
  <c r="B72" i="6" l="1"/>
  <c r="D72" i="6"/>
  <c r="A73" i="6"/>
  <c r="C72" i="6"/>
  <c r="D73" i="6" l="1"/>
  <c r="A74" i="6"/>
  <c r="B73" i="6"/>
  <c r="C73" i="6"/>
  <c r="A75" i="6" l="1"/>
  <c r="D74" i="6"/>
  <c r="B74" i="6"/>
  <c r="C74" i="6"/>
  <c r="B75" i="6" l="1"/>
  <c r="D75" i="6"/>
  <c r="A76" i="6"/>
  <c r="C75" i="6"/>
  <c r="B76" i="6" l="1"/>
  <c r="A77" i="6"/>
  <c r="D76" i="6"/>
  <c r="C76" i="6"/>
  <c r="A78" i="6" l="1"/>
  <c r="D77" i="6"/>
  <c r="B77" i="6"/>
  <c r="C77" i="6"/>
  <c r="D78" i="6" l="1"/>
  <c r="A79" i="6"/>
  <c r="B78" i="6"/>
  <c r="C78" i="6"/>
  <c r="B79" i="6" l="1"/>
  <c r="D79" i="6"/>
  <c r="A80" i="6"/>
  <c r="C79" i="6"/>
  <c r="B80" i="6" l="1"/>
  <c r="A81" i="6"/>
  <c r="D80" i="6"/>
  <c r="C80" i="6"/>
  <c r="D81" i="6" l="1"/>
  <c r="A82" i="6"/>
  <c r="B81" i="6"/>
  <c r="C81" i="6"/>
  <c r="D82" i="6" l="1"/>
  <c r="A83" i="6"/>
  <c r="B82" i="6"/>
  <c r="C82" i="6"/>
  <c r="B83" i="6" l="1"/>
  <c r="D83" i="6"/>
  <c r="A84" i="6"/>
  <c r="C83" i="6"/>
  <c r="B84" i="6" l="1"/>
  <c r="D84" i="6"/>
  <c r="A85" i="6"/>
  <c r="C84" i="6"/>
  <c r="D85" i="6" l="1"/>
  <c r="A86" i="6"/>
  <c r="B85" i="6"/>
  <c r="C85" i="6"/>
  <c r="A87" i="6" l="1"/>
  <c r="D86" i="6"/>
  <c r="B86" i="6"/>
  <c r="C86" i="6"/>
  <c r="B87" i="6" l="1"/>
  <c r="D87" i="6"/>
  <c r="A88" i="6"/>
  <c r="C87" i="6"/>
  <c r="B88" i="6" l="1"/>
  <c r="D88" i="6"/>
  <c r="A89" i="6"/>
  <c r="C88" i="6"/>
  <c r="D89" i="6" l="1"/>
  <c r="A90" i="6"/>
  <c r="B89" i="6"/>
  <c r="C89" i="6"/>
  <c r="A91" i="6" l="1"/>
  <c r="D90" i="6"/>
  <c r="B90" i="6"/>
  <c r="C90" i="6"/>
  <c r="B91" i="6" l="1"/>
  <c r="D91" i="6"/>
  <c r="A92" i="6"/>
  <c r="C91" i="6"/>
  <c r="B92" i="6" l="1"/>
  <c r="A93" i="6"/>
  <c r="D92" i="6"/>
  <c r="C92" i="6"/>
  <c r="D93" i="6" l="1"/>
  <c r="A94" i="6"/>
  <c r="B93" i="6"/>
  <c r="C93" i="6"/>
  <c r="D94" i="6" l="1"/>
  <c r="A95" i="6"/>
  <c r="B94" i="6"/>
  <c r="C94" i="6"/>
  <c r="B95" i="6" l="1"/>
  <c r="D95" i="6"/>
  <c r="A96" i="6"/>
  <c r="C95" i="6"/>
  <c r="B96" i="6" l="1"/>
  <c r="D96" i="6"/>
  <c r="A97" i="6"/>
  <c r="C96" i="6"/>
  <c r="D97" i="6" l="1"/>
  <c r="A98" i="6"/>
  <c r="B97" i="6"/>
  <c r="C97" i="6"/>
  <c r="A99" i="6" l="1"/>
  <c r="D98" i="6"/>
  <c r="B98" i="6"/>
  <c r="C98" i="6"/>
  <c r="B99" i="6" l="1"/>
  <c r="D99" i="6"/>
  <c r="A100" i="6"/>
  <c r="C99" i="6"/>
  <c r="B100" i="6" l="1"/>
  <c r="D100" i="6"/>
  <c r="A101" i="6"/>
  <c r="C100" i="6"/>
  <c r="D101" i="6" l="1"/>
  <c r="A102" i="6"/>
  <c r="B101" i="6"/>
  <c r="C101" i="6"/>
  <c r="D102" i="6" l="1"/>
  <c r="A103" i="6"/>
  <c r="B102" i="6"/>
  <c r="C102" i="6"/>
  <c r="B103" i="6" l="1"/>
  <c r="D103" i="6"/>
  <c r="A104" i="6"/>
  <c r="C103" i="6"/>
  <c r="B104" i="6" l="1"/>
  <c r="A105" i="6"/>
  <c r="D104" i="6"/>
  <c r="C104" i="6"/>
  <c r="D105" i="6" l="1"/>
  <c r="A106" i="6"/>
  <c r="B105" i="6"/>
  <c r="C105" i="6"/>
  <c r="D106" i="6" l="1"/>
  <c r="A107" i="6"/>
  <c r="B106" i="6"/>
  <c r="C106" i="6"/>
  <c r="B107" i="6" l="1"/>
  <c r="D107" i="6"/>
  <c r="A108" i="6"/>
  <c r="C107" i="6"/>
  <c r="B108" i="6" l="1"/>
  <c r="D108" i="6"/>
  <c r="A109" i="6"/>
  <c r="C108" i="6"/>
  <c r="D109" i="6" l="1"/>
  <c r="A110" i="6"/>
  <c r="B109" i="6"/>
  <c r="C109" i="6"/>
  <c r="A111" i="6" l="1"/>
  <c r="D110" i="6"/>
  <c r="B110" i="6"/>
  <c r="C110" i="6"/>
  <c r="B111" i="6" l="1"/>
  <c r="D111" i="6"/>
  <c r="A112" i="6"/>
  <c r="C111" i="6"/>
  <c r="B112" i="6" l="1"/>
  <c r="A113" i="6"/>
  <c r="D112" i="6"/>
  <c r="C112" i="6"/>
  <c r="A114" i="6" l="1"/>
  <c r="D113" i="6"/>
  <c r="B113" i="6"/>
  <c r="C113" i="6"/>
  <c r="D114" i="6" l="1"/>
  <c r="A115" i="6"/>
  <c r="B114" i="6"/>
  <c r="C114" i="6"/>
  <c r="B115" i="6" l="1"/>
  <c r="D115" i="6"/>
  <c r="A116" i="6"/>
  <c r="C115" i="6"/>
  <c r="B116" i="6" l="1"/>
  <c r="A117" i="6"/>
  <c r="D116" i="6"/>
  <c r="C116" i="6"/>
  <c r="D117" i="6" l="1"/>
  <c r="A118" i="6"/>
  <c r="B117" i="6"/>
  <c r="C117" i="6"/>
  <c r="D118" i="6" l="1"/>
  <c r="A119" i="6"/>
  <c r="B118" i="6"/>
  <c r="C118" i="6"/>
  <c r="B119" i="6" l="1"/>
  <c r="A120" i="6"/>
  <c r="D119" i="6"/>
  <c r="C119" i="6"/>
  <c r="B120" i="6" l="1"/>
  <c r="A121" i="6"/>
  <c r="D120" i="6"/>
  <c r="C120" i="6"/>
  <c r="D121" i="6" l="1"/>
  <c r="A122" i="6"/>
  <c r="B121" i="6"/>
  <c r="C121" i="6"/>
  <c r="A123" i="6" l="1"/>
  <c r="D122" i="6"/>
  <c r="B122" i="6"/>
  <c r="C122" i="6"/>
  <c r="B123" i="6" l="1"/>
  <c r="D123" i="6"/>
  <c r="A124" i="6"/>
  <c r="C123" i="6"/>
  <c r="B124" i="6" l="1"/>
  <c r="D124" i="6"/>
  <c r="A125" i="6"/>
  <c r="C124" i="6"/>
  <c r="D125" i="6" l="1"/>
  <c r="A126" i="6"/>
  <c r="B125" i="6"/>
  <c r="C125" i="6"/>
  <c r="D126" i="6" l="1"/>
  <c r="A127" i="6"/>
  <c r="B126" i="6"/>
  <c r="C126" i="6"/>
  <c r="B127" i="6" l="1"/>
  <c r="D127" i="6"/>
  <c r="A128" i="6"/>
  <c r="C127" i="6"/>
  <c r="B128" i="6" l="1"/>
  <c r="A129" i="6"/>
  <c r="D128" i="6"/>
  <c r="C128" i="6"/>
  <c r="D129" i="6" l="1"/>
  <c r="A130" i="6"/>
  <c r="B129" i="6"/>
  <c r="C129" i="6"/>
  <c r="D130" i="6" l="1"/>
  <c r="A131" i="6"/>
  <c r="B130" i="6"/>
  <c r="C130" i="6"/>
  <c r="B131" i="6" l="1"/>
  <c r="D131" i="6"/>
  <c r="A132" i="6"/>
  <c r="C131" i="6"/>
  <c r="B132" i="6" l="1"/>
  <c r="D132" i="6"/>
  <c r="A133" i="6"/>
  <c r="C132" i="6"/>
  <c r="D133" i="6" l="1"/>
  <c r="A134" i="6"/>
  <c r="B133" i="6"/>
  <c r="C133" i="6"/>
  <c r="A135" i="6" l="1"/>
  <c r="D134" i="6"/>
  <c r="B134" i="6"/>
  <c r="C134" i="6"/>
  <c r="B135" i="6" l="1"/>
  <c r="D135" i="6"/>
  <c r="A136" i="6"/>
  <c r="C135" i="6"/>
  <c r="B136" i="6" l="1"/>
  <c r="D136" i="6"/>
  <c r="A137" i="6"/>
  <c r="C136" i="6"/>
  <c r="A138" i="6" l="1"/>
  <c r="D137" i="6"/>
  <c r="B137" i="6"/>
  <c r="C137" i="6"/>
  <c r="A139" i="6" l="1"/>
  <c r="D138" i="6"/>
  <c r="B138" i="6"/>
  <c r="C138" i="6"/>
  <c r="B139" i="6" l="1"/>
  <c r="D139" i="6"/>
  <c r="A140" i="6"/>
  <c r="C139" i="6"/>
  <c r="B140" i="6" l="1"/>
  <c r="A141" i="6"/>
  <c r="D140" i="6"/>
  <c r="C140" i="6"/>
  <c r="D141" i="6" l="1"/>
  <c r="A142" i="6"/>
  <c r="B141" i="6"/>
  <c r="C141" i="6"/>
  <c r="D142" i="6" l="1"/>
  <c r="A143" i="6"/>
  <c r="B142" i="6"/>
  <c r="C142" i="6"/>
  <c r="B143" i="6" l="1"/>
  <c r="D143" i="6"/>
  <c r="A144" i="6"/>
  <c r="C143" i="6"/>
  <c r="B144" i="6" l="1"/>
  <c r="D144" i="6"/>
  <c r="A145" i="6"/>
  <c r="C144" i="6"/>
  <c r="D145" i="6" l="1"/>
  <c r="A146" i="6"/>
  <c r="B145" i="6"/>
  <c r="C145" i="6"/>
  <c r="A147" i="6" l="1"/>
  <c r="D146" i="6"/>
  <c r="B146" i="6"/>
  <c r="C146" i="6"/>
  <c r="B147" i="6" l="1"/>
  <c r="D147" i="6"/>
  <c r="A148" i="6"/>
  <c r="C147" i="6"/>
  <c r="B148" i="6" l="1"/>
  <c r="D148" i="6"/>
  <c r="A149" i="6"/>
  <c r="C148" i="6"/>
  <c r="D149" i="6" l="1"/>
  <c r="A150" i="6"/>
  <c r="B149" i="6"/>
  <c r="C149" i="6"/>
  <c r="D150" i="6" l="1"/>
  <c r="A151" i="6"/>
  <c r="B150" i="6"/>
  <c r="C150" i="6"/>
  <c r="B151" i="6" l="1"/>
  <c r="D151" i="6"/>
  <c r="A152" i="6"/>
  <c r="C151" i="6"/>
  <c r="B152" i="6" l="1"/>
  <c r="A153" i="6"/>
  <c r="D152" i="6"/>
  <c r="C152" i="6"/>
  <c r="D153" i="6" l="1"/>
  <c r="A154" i="6"/>
  <c r="B153" i="6"/>
  <c r="C153" i="6"/>
  <c r="D154" i="6" l="1"/>
  <c r="A155" i="6"/>
  <c r="B154" i="6"/>
  <c r="C154" i="6"/>
  <c r="B155" i="6" l="1"/>
  <c r="D155" i="6"/>
  <c r="A156" i="6"/>
  <c r="C155" i="6"/>
  <c r="B156" i="6" l="1"/>
  <c r="A157" i="6"/>
  <c r="D156" i="6"/>
  <c r="C156" i="6"/>
  <c r="D157" i="6" l="1"/>
  <c r="A158" i="6"/>
  <c r="B157" i="6"/>
  <c r="C157" i="6"/>
  <c r="A159" i="6" l="1"/>
  <c r="D158" i="6"/>
  <c r="B158" i="6"/>
  <c r="C158" i="6"/>
  <c r="B159" i="6" l="1"/>
  <c r="D159" i="6"/>
  <c r="A160" i="6"/>
  <c r="C159" i="6"/>
  <c r="B160" i="6" l="1"/>
  <c r="D160" i="6"/>
  <c r="A161" i="6"/>
  <c r="C160" i="6"/>
  <c r="D161" i="6" l="1"/>
  <c r="A162" i="6"/>
  <c r="B161" i="6"/>
  <c r="C161" i="6"/>
  <c r="D162" i="6" l="1"/>
  <c r="A163" i="6"/>
  <c r="B162" i="6"/>
  <c r="C162" i="6"/>
  <c r="B163" i="6" l="1"/>
  <c r="D163" i="6"/>
  <c r="A164" i="6"/>
  <c r="C163" i="6"/>
  <c r="B164" i="6" l="1"/>
  <c r="A165" i="6"/>
  <c r="D164" i="6"/>
  <c r="C164" i="6"/>
  <c r="D165" i="6" l="1"/>
  <c r="A166" i="6"/>
  <c r="B165" i="6"/>
  <c r="C165" i="6"/>
  <c r="D166" i="6" l="1"/>
  <c r="A167" i="6"/>
  <c r="B166" i="6"/>
  <c r="C166" i="6"/>
  <c r="B167" i="6" l="1"/>
  <c r="D167" i="6"/>
  <c r="A168" i="6"/>
  <c r="C167" i="6"/>
  <c r="B168" i="6" l="1"/>
  <c r="D168" i="6"/>
  <c r="A169" i="6"/>
  <c r="C168" i="6"/>
  <c r="D169" i="6" l="1"/>
  <c r="A170" i="6"/>
  <c r="B169" i="6"/>
  <c r="C169" i="6"/>
  <c r="A171" i="6" l="1"/>
  <c r="D170" i="6"/>
  <c r="B170" i="6"/>
  <c r="C170" i="6"/>
  <c r="B171" i="6" l="1"/>
  <c r="D171" i="6"/>
  <c r="A172" i="6"/>
  <c r="C171" i="6"/>
  <c r="C172" i="6" l="1"/>
  <c r="B172" i="6"/>
  <c r="A173" i="6"/>
  <c r="D172" i="6"/>
  <c r="B173" i="6" l="1"/>
  <c r="A174" i="6"/>
  <c r="C173" i="6"/>
  <c r="D173" i="6"/>
  <c r="B174" i="6" l="1"/>
  <c r="C174" i="6"/>
  <c r="D174" i="6"/>
  <c r="A175" i="6"/>
  <c r="C175" i="6" l="1"/>
  <c r="B175" i="6"/>
  <c r="D175" i="6"/>
  <c r="A176" i="6"/>
  <c r="A177" i="6" l="1"/>
  <c r="B176" i="6"/>
  <c r="D176" i="6"/>
  <c r="C176" i="6"/>
  <c r="C177" i="6" l="1"/>
  <c r="D177" i="6"/>
  <c r="A178" i="6"/>
  <c r="B177" i="6"/>
  <c r="A179" i="6" l="1"/>
  <c r="B178" i="6"/>
  <c r="D178" i="6"/>
  <c r="C178" i="6"/>
  <c r="B179" i="6" l="1"/>
  <c r="D179" i="6"/>
  <c r="A180" i="6"/>
  <c r="C179" i="6"/>
  <c r="D180" i="6" l="1"/>
  <c r="C180" i="6"/>
  <c r="B180" i="6"/>
  <c r="A181" i="6"/>
  <c r="A182" i="6" l="1"/>
  <c r="C181" i="6"/>
  <c r="D181" i="6"/>
  <c r="B181" i="6"/>
  <c r="B182" i="6" l="1"/>
  <c r="A183" i="6"/>
  <c r="C182" i="6"/>
  <c r="D182" i="6"/>
  <c r="B183" i="6" l="1"/>
  <c r="D183" i="6"/>
  <c r="C183" i="6"/>
  <c r="A184" i="6"/>
  <c r="D184" i="6" l="1"/>
  <c r="B184" i="6"/>
  <c r="A185" i="6"/>
  <c r="C184" i="6"/>
  <c r="B185" i="6" l="1"/>
  <c r="A186" i="6"/>
  <c r="C185" i="6"/>
  <c r="D185" i="6"/>
  <c r="C186" i="6" l="1"/>
  <c r="B186" i="6"/>
  <c r="A187" i="6"/>
  <c r="D186" i="6"/>
  <c r="C187" i="6" l="1"/>
  <c r="B187" i="6"/>
  <c r="D187" i="6"/>
  <c r="A188" i="6"/>
  <c r="D188" i="6" l="1"/>
  <c r="A189" i="6"/>
  <c r="C188" i="6"/>
  <c r="B188" i="6"/>
  <c r="A190" i="6" l="1"/>
  <c r="C189" i="6"/>
  <c r="D189" i="6"/>
  <c r="B189" i="6"/>
  <c r="B190" i="6" l="1"/>
  <c r="C190" i="6"/>
  <c r="D190" i="6"/>
  <c r="A191" i="6"/>
  <c r="D191" i="6" l="1"/>
  <c r="C191" i="6"/>
  <c r="A192" i="6"/>
  <c r="B191" i="6"/>
  <c r="B192" i="6" l="1"/>
  <c r="A193" i="6"/>
  <c r="C192" i="6"/>
  <c r="D192" i="6"/>
  <c r="C193" i="6" l="1"/>
  <c r="A194" i="6"/>
  <c r="B193" i="6"/>
  <c r="D193" i="6"/>
  <c r="D194" i="6" l="1"/>
  <c r="A195" i="6"/>
  <c r="B194" i="6"/>
  <c r="C194" i="6"/>
  <c r="A196" i="6" l="1"/>
  <c r="B195" i="6"/>
  <c r="D195" i="6"/>
  <c r="C195" i="6"/>
  <c r="B196" i="6" l="1"/>
  <c r="D196" i="6"/>
  <c r="A197" i="6"/>
  <c r="C196" i="6"/>
  <c r="B197" i="6" l="1"/>
  <c r="A198" i="6"/>
  <c r="C197" i="6"/>
  <c r="D197" i="6"/>
  <c r="B198" i="6" l="1"/>
  <c r="C198" i="6"/>
  <c r="D198" i="6"/>
  <c r="A199" i="6"/>
  <c r="B199" i="6" l="1"/>
  <c r="C199" i="6"/>
  <c r="D199" i="6"/>
  <c r="A200" i="6"/>
  <c r="B200" i="6" l="1"/>
  <c r="C200" i="6"/>
  <c r="A201" i="6"/>
  <c r="D200" i="6"/>
  <c r="A202" i="6" l="1"/>
  <c r="B201" i="6"/>
  <c r="D201" i="6"/>
  <c r="C201" i="6"/>
  <c r="C202" i="6" l="1"/>
  <c r="B202" i="6"/>
  <c r="D202" i="6"/>
  <c r="A203" i="6"/>
  <c r="D203" i="6" l="1"/>
  <c r="C203" i="6"/>
  <c r="A204" i="6"/>
  <c r="B203" i="6"/>
  <c r="C204" i="6" l="1"/>
  <c r="A205" i="6"/>
  <c r="B204" i="6"/>
  <c r="D204" i="6"/>
  <c r="A206" i="6" l="1"/>
  <c r="D205" i="6"/>
  <c r="B205" i="6"/>
  <c r="C205" i="6"/>
  <c r="B206" i="6" l="1"/>
  <c r="C206" i="6"/>
  <c r="D206" i="6"/>
  <c r="A207" i="6"/>
  <c r="B207" i="6" l="1"/>
  <c r="C207" i="6"/>
  <c r="A208" i="6"/>
  <c r="D207" i="6"/>
  <c r="A209" i="6" l="1"/>
  <c r="D208" i="6"/>
  <c r="C208" i="6"/>
  <c r="B208" i="6"/>
  <c r="A210" i="6" l="1"/>
  <c r="B209" i="6"/>
  <c r="C209" i="6"/>
  <c r="D209" i="6"/>
  <c r="D210" i="6" l="1"/>
  <c r="C210" i="6"/>
  <c r="B210" i="6"/>
  <c r="A211" i="6"/>
  <c r="B211" i="6" l="1"/>
  <c r="D211" i="6"/>
  <c r="C211" i="6"/>
  <c r="A212" i="6"/>
  <c r="A213" i="6" l="1"/>
  <c r="D212" i="6"/>
  <c r="B212" i="6"/>
  <c r="C212" i="6"/>
  <c r="B213" i="6" l="1"/>
  <c r="D213" i="6"/>
  <c r="C213" i="6"/>
  <c r="A214" i="6"/>
  <c r="B214" i="6" l="1"/>
  <c r="D214" i="6"/>
  <c r="C214" i="6"/>
  <c r="A215" i="6"/>
  <c r="B215" i="6" l="1"/>
  <c r="C215" i="6"/>
  <c r="A216" i="6"/>
  <c r="D215" i="6"/>
  <c r="A217" i="6" l="1"/>
  <c r="C216" i="6"/>
  <c r="D216" i="6"/>
  <c r="B216" i="6"/>
  <c r="A218" i="6" l="1"/>
  <c r="D217" i="6"/>
  <c r="B217" i="6"/>
  <c r="C217" i="6"/>
  <c r="D218" i="6" l="1"/>
  <c r="B218" i="6"/>
  <c r="A219" i="6"/>
  <c r="C218" i="6"/>
  <c r="B219" i="6" l="1"/>
  <c r="D219" i="6"/>
  <c r="C219" i="6"/>
  <c r="A220" i="6"/>
  <c r="B220" i="6" l="1"/>
  <c r="D220" i="6"/>
  <c r="A221" i="6"/>
  <c r="C220" i="6"/>
  <c r="A222" i="6" l="1"/>
  <c r="B221" i="6"/>
  <c r="C221" i="6"/>
  <c r="D221" i="6"/>
  <c r="B222" i="6" l="1"/>
  <c r="D222" i="6"/>
  <c r="A223" i="6"/>
  <c r="C222" i="6"/>
  <c r="D223" i="6" l="1"/>
  <c r="A224" i="6"/>
  <c r="B223" i="6"/>
  <c r="C223" i="6"/>
  <c r="B224" i="6" l="1"/>
  <c r="A225" i="6"/>
  <c r="D224" i="6"/>
  <c r="C224" i="6"/>
  <c r="A226" i="6" l="1"/>
  <c r="C225" i="6"/>
  <c r="D225" i="6"/>
  <c r="B225" i="6"/>
  <c r="B226" i="6" l="1"/>
  <c r="C226" i="6"/>
  <c r="D226" i="6"/>
  <c r="A227" i="6"/>
  <c r="B227" i="6" l="1"/>
  <c r="C227" i="6"/>
  <c r="A228" i="6"/>
  <c r="D227" i="6"/>
  <c r="A229" i="6" l="1"/>
  <c r="D228" i="6"/>
  <c r="B228" i="6"/>
  <c r="C228" i="6"/>
  <c r="A230" i="6" l="1"/>
  <c r="D229" i="6"/>
  <c r="B229" i="6"/>
  <c r="C229" i="6"/>
  <c r="B230" i="6" l="1"/>
  <c r="A231" i="6"/>
  <c r="C230" i="6"/>
  <c r="D230" i="6"/>
  <c r="D231" i="6" l="1"/>
  <c r="B231" i="6"/>
  <c r="C231" i="6"/>
  <c r="A232" i="6"/>
  <c r="B232" i="6" l="1"/>
  <c r="C232" i="6"/>
  <c r="A233" i="6"/>
  <c r="D232" i="6"/>
  <c r="B233" i="6" l="1"/>
  <c r="A234" i="6"/>
  <c r="C233" i="6"/>
  <c r="D233" i="6"/>
  <c r="B234" i="6" l="1"/>
  <c r="C234" i="6"/>
  <c r="D234" i="6"/>
  <c r="A235" i="6"/>
  <c r="B235" i="6" l="1"/>
  <c r="D235" i="6"/>
  <c r="C235" i="6"/>
  <c r="A236" i="6"/>
  <c r="D236" i="6" l="1"/>
  <c r="B236" i="6"/>
  <c r="A237" i="6"/>
  <c r="C236" i="6"/>
  <c r="A238" i="6" l="1"/>
  <c r="B237" i="6"/>
  <c r="C237" i="6"/>
  <c r="D237" i="6"/>
  <c r="C238" i="6" l="1"/>
  <c r="D238" i="6"/>
  <c r="A239" i="6"/>
  <c r="B238" i="6"/>
  <c r="D239" i="6" l="1"/>
  <c r="C239" i="6"/>
  <c r="A240" i="6"/>
  <c r="B239" i="6"/>
  <c r="B240" i="6" l="1"/>
  <c r="A241" i="6"/>
  <c r="D240" i="6"/>
  <c r="C240" i="6"/>
  <c r="B241" i="6" l="1"/>
  <c r="A242" i="6"/>
  <c r="C241" i="6"/>
  <c r="D241" i="6"/>
  <c r="A243" i="6" l="1"/>
  <c r="B242" i="6"/>
  <c r="D242" i="6"/>
  <c r="C242" i="6"/>
  <c r="C243" i="6" l="1"/>
  <c r="D243" i="6"/>
  <c r="A244" i="6"/>
  <c r="B243" i="6"/>
  <c r="B244" i="6" l="1"/>
  <c r="D244" i="6"/>
  <c r="A245" i="6"/>
  <c r="C244" i="6"/>
  <c r="B245" i="6" l="1"/>
  <c r="A246" i="6"/>
  <c r="D245" i="6"/>
  <c r="C245" i="6"/>
  <c r="D246" i="6" l="1"/>
  <c r="B246" i="6"/>
  <c r="A247" i="6"/>
  <c r="C246" i="6"/>
  <c r="C247" i="6" l="1"/>
  <c r="D247" i="6"/>
  <c r="B247" i="6"/>
  <c r="A248" i="6"/>
  <c r="A249" i="6" l="1"/>
  <c r="D248" i="6"/>
  <c r="B248" i="6"/>
  <c r="C248" i="6"/>
  <c r="A250" i="6" l="1"/>
  <c r="B249" i="6"/>
  <c r="C249" i="6"/>
  <c r="D249" i="6"/>
  <c r="B250" i="6" l="1"/>
  <c r="D250" i="6"/>
  <c r="A251" i="6"/>
  <c r="C250" i="6"/>
  <c r="B251" i="6" l="1"/>
  <c r="D251" i="6"/>
  <c r="C251" i="6"/>
  <c r="A252" i="6"/>
  <c r="B252" i="6" l="1"/>
  <c r="A253" i="6"/>
  <c r="D252" i="6"/>
  <c r="C252" i="6"/>
  <c r="B253" i="6" l="1"/>
  <c r="D253" i="6"/>
  <c r="C253" i="6"/>
  <c r="A254" i="6"/>
  <c r="C254" i="6" l="1"/>
  <c r="B254" i="6"/>
  <c r="A255" i="6"/>
  <c r="D254" i="6"/>
  <c r="B255" i="6" l="1"/>
  <c r="D255" i="6"/>
  <c r="C255" i="6"/>
  <c r="A256" i="6"/>
  <c r="B256" i="6" l="1"/>
  <c r="A257" i="6"/>
  <c r="D256" i="6"/>
  <c r="C256" i="6"/>
  <c r="B257" i="6" l="1"/>
  <c r="A258" i="6"/>
  <c r="C257" i="6"/>
  <c r="D257" i="6"/>
  <c r="B258" i="6" l="1"/>
  <c r="D258" i="6"/>
  <c r="A259" i="6"/>
  <c r="C258" i="6"/>
  <c r="A260" i="6" l="1"/>
  <c r="B259" i="6"/>
  <c r="D259" i="6"/>
  <c r="C259" i="6"/>
  <c r="A261" i="6" l="1"/>
  <c r="B260" i="6"/>
  <c r="D260" i="6"/>
  <c r="C260" i="6"/>
  <c r="B261" i="6" l="1"/>
  <c r="A262" i="6"/>
  <c r="C261" i="6"/>
  <c r="D261" i="6"/>
  <c r="C262" i="6" l="1"/>
  <c r="B262" i="6"/>
  <c r="A263" i="6"/>
  <c r="D262" i="6"/>
  <c r="B263" i="6" l="1"/>
  <c r="D263" i="6"/>
  <c r="C263" i="6"/>
  <c r="A264" i="6"/>
  <c r="B264" i="6" l="1"/>
  <c r="A265" i="6"/>
  <c r="D264" i="6"/>
  <c r="C264" i="6"/>
  <c r="B265" i="6" l="1"/>
  <c r="C265" i="6"/>
  <c r="D265" i="6"/>
  <c r="A266" i="6"/>
  <c r="A267" i="6" l="1"/>
  <c r="C266" i="6"/>
  <c r="B266" i="6"/>
  <c r="D266" i="6"/>
  <c r="A268" i="6" l="1"/>
  <c r="B267" i="6"/>
  <c r="C267" i="6"/>
  <c r="D267" i="6"/>
  <c r="A269" i="6" l="1"/>
  <c r="D268" i="6"/>
  <c r="B268" i="6"/>
  <c r="C268" i="6"/>
  <c r="D269" i="6" l="1"/>
  <c r="B269" i="6"/>
  <c r="A270" i="6"/>
  <c r="C269" i="6"/>
  <c r="C270" i="6" l="1"/>
  <c r="D270" i="6"/>
  <c r="A271" i="6"/>
  <c r="B270" i="6"/>
  <c r="D271" i="6" l="1"/>
  <c r="A272" i="6"/>
  <c r="B271" i="6"/>
  <c r="C271" i="6"/>
  <c r="A273" i="6" l="1"/>
  <c r="D272" i="6"/>
  <c r="B272" i="6"/>
  <c r="C272" i="6"/>
  <c r="B273" i="6" l="1"/>
  <c r="A274" i="6"/>
  <c r="C273" i="6"/>
  <c r="D273" i="6"/>
  <c r="B274" i="6" l="1"/>
  <c r="D274" i="6"/>
  <c r="C274" i="6"/>
  <c r="A275" i="6"/>
  <c r="C275" i="6" l="1"/>
  <c r="A276" i="6"/>
  <c r="B275" i="6"/>
  <c r="D275" i="6"/>
  <c r="B276" i="6" l="1"/>
  <c r="C276" i="6"/>
  <c r="D276" i="6"/>
  <c r="A277" i="6"/>
  <c r="A278" i="6" l="1"/>
  <c r="C277" i="6"/>
  <c r="D277" i="6"/>
  <c r="B277" i="6"/>
  <c r="A279" i="6" l="1"/>
  <c r="C278" i="6"/>
  <c r="D278" i="6"/>
  <c r="B278" i="6"/>
  <c r="A280" i="6" l="1"/>
  <c r="C279" i="6"/>
  <c r="D279" i="6"/>
  <c r="B279" i="6"/>
  <c r="A281" i="6" l="1"/>
  <c r="B280" i="6"/>
  <c r="C280" i="6"/>
  <c r="D280" i="6"/>
  <c r="B281" i="6" l="1"/>
  <c r="A282" i="6"/>
  <c r="C281" i="6"/>
  <c r="D281" i="6"/>
  <c r="B282" i="6" l="1"/>
  <c r="A283" i="6"/>
  <c r="C282" i="6"/>
  <c r="D282" i="6"/>
  <c r="B283" i="6" l="1"/>
  <c r="A284" i="6"/>
  <c r="C283" i="6"/>
  <c r="D283" i="6"/>
  <c r="C284" i="6" l="1"/>
  <c r="B284" i="6"/>
  <c r="A285" i="6"/>
  <c r="D284" i="6"/>
  <c r="B285" i="6" l="1"/>
  <c r="A286" i="6"/>
  <c r="C285" i="6"/>
  <c r="D285" i="6"/>
  <c r="B286" i="6" l="1"/>
  <c r="A287" i="6"/>
  <c r="C286" i="6"/>
  <c r="D286" i="6"/>
  <c r="D287" i="6" l="1"/>
  <c r="B287" i="6"/>
  <c r="A288" i="6"/>
  <c r="C287" i="6"/>
  <c r="D288" i="6" l="1"/>
  <c r="B288" i="6"/>
  <c r="A289" i="6"/>
  <c r="C288" i="6"/>
  <c r="A290" i="6" l="1"/>
  <c r="C289" i="6"/>
  <c r="B289" i="6"/>
  <c r="D289" i="6"/>
  <c r="D290" i="6" l="1"/>
  <c r="B290" i="6"/>
  <c r="A291" i="6"/>
  <c r="C290" i="6"/>
  <c r="A292" i="6" l="1"/>
  <c r="B291" i="6"/>
  <c r="C291" i="6"/>
  <c r="D291" i="6"/>
  <c r="A293" i="6" l="1"/>
  <c r="B292" i="6"/>
  <c r="C292" i="6"/>
  <c r="D292" i="6"/>
  <c r="B293" i="6" l="1"/>
  <c r="A294" i="6"/>
  <c r="C293" i="6"/>
  <c r="D293" i="6"/>
  <c r="A295" i="6" l="1"/>
  <c r="B294" i="6"/>
  <c r="C294" i="6"/>
  <c r="D294" i="6"/>
  <c r="A296" i="6" l="1"/>
  <c r="D295" i="6"/>
  <c r="B295" i="6"/>
  <c r="C295" i="6"/>
  <c r="A297" i="6" l="1"/>
  <c r="D296" i="6"/>
  <c r="B296" i="6"/>
  <c r="C296" i="6"/>
  <c r="A298" i="6" l="1"/>
  <c r="B297" i="6"/>
  <c r="C297" i="6"/>
  <c r="D297" i="6"/>
  <c r="A299" i="6" l="1"/>
  <c r="B298" i="6"/>
  <c r="D298" i="6"/>
  <c r="C298" i="6"/>
  <c r="B299" i="6" l="1"/>
  <c r="A300" i="6"/>
  <c r="C299" i="6"/>
  <c r="D299" i="6"/>
  <c r="B300" i="6" l="1"/>
  <c r="A301" i="6"/>
  <c r="C300" i="6"/>
  <c r="D300" i="6"/>
  <c r="A302" i="6" l="1"/>
  <c r="B301" i="6"/>
  <c r="C301" i="6"/>
  <c r="D301" i="6"/>
  <c r="A303" i="6" l="1"/>
  <c r="B302" i="6"/>
  <c r="C302" i="6"/>
  <c r="D302" i="6"/>
  <c r="A304" i="6" l="1"/>
  <c r="B303" i="6"/>
  <c r="C303" i="6"/>
  <c r="D303" i="6"/>
  <c r="A305" i="6" l="1"/>
  <c r="B304" i="6"/>
  <c r="C304" i="6"/>
  <c r="D304" i="6"/>
  <c r="B305" i="6" l="1"/>
  <c r="A306" i="6"/>
  <c r="C305" i="6"/>
  <c r="D305" i="6"/>
  <c r="A307" i="6" l="1"/>
  <c r="B306" i="6"/>
  <c r="D306" i="6"/>
  <c r="C306" i="6"/>
  <c r="A308" i="6" l="1"/>
  <c r="B307" i="6"/>
  <c r="C307" i="6"/>
  <c r="D307" i="6"/>
  <c r="A309" i="6" l="1"/>
  <c r="B308" i="6"/>
  <c r="C308" i="6"/>
  <c r="D308" i="6"/>
  <c r="A310" i="6" l="1"/>
  <c r="B309" i="6"/>
  <c r="C309" i="6"/>
  <c r="D309" i="6"/>
  <c r="A311" i="6" l="1"/>
  <c r="B310" i="6"/>
  <c r="C310" i="6"/>
  <c r="D310" i="6"/>
  <c r="A312" i="6" l="1"/>
  <c r="B311" i="6"/>
  <c r="C311" i="6"/>
  <c r="D311" i="6"/>
  <c r="A313" i="6" l="1"/>
  <c r="B312" i="6"/>
  <c r="C312" i="6"/>
  <c r="D312" i="6"/>
  <c r="B313" i="6" l="1"/>
  <c r="A314" i="6"/>
  <c r="C313" i="6"/>
  <c r="D313" i="6"/>
  <c r="B314" i="6" l="1"/>
  <c r="C314" i="6"/>
  <c r="D314" i="6"/>
  <c r="A315" i="6"/>
  <c r="A316" i="6" l="1"/>
  <c r="B315" i="6"/>
  <c r="D315" i="6"/>
  <c r="C315" i="6"/>
  <c r="B316" i="6" l="1"/>
  <c r="C316" i="6"/>
  <c r="D316" i="6"/>
  <c r="A317" i="6"/>
  <c r="B317" i="6" l="1"/>
  <c r="A318" i="6"/>
  <c r="C317" i="6"/>
  <c r="D317" i="6"/>
  <c r="A319" i="6" l="1"/>
  <c r="B318" i="6"/>
  <c r="C318" i="6"/>
  <c r="D318" i="6"/>
  <c r="D319" i="6" l="1"/>
  <c r="B319" i="6"/>
  <c r="A320" i="6"/>
  <c r="C319" i="6"/>
  <c r="C320" i="6" l="1"/>
  <c r="D320" i="6"/>
  <c r="B320" i="6"/>
</calcChain>
</file>

<file path=xl/sharedStrings.xml><?xml version="1.0" encoding="utf-8"?>
<sst xmlns="http://schemas.openxmlformats.org/spreadsheetml/2006/main" count="375" uniqueCount="190">
  <si>
    <r>
      <t>Binomial Model Example…</t>
    </r>
    <r>
      <rPr>
        <sz val="12"/>
        <rFont val="Arial MT"/>
      </rPr>
      <t xml:space="preserve"> (12 periods) </t>
    </r>
  </si>
  <si>
    <t>Enter (input)*:</t>
  </si>
  <si>
    <t>Resulting (output):</t>
  </si>
  <si>
    <t>Riskfree interest rate (rf) =</t>
  </si>
  <si>
    <t>rf/period=</t>
  </si>
  <si>
    <t>Underl Asset Total Return (rV) =</t>
  </si>
  <si>
    <t>rV/period =</t>
  </si>
  <si>
    <t>Example:</t>
  </si>
  <si>
    <t>Underl Asset Cash yield (yV) =</t>
  </si>
  <si>
    <t>yV/period=</t>
  </si>
  <si>
    <t>K growth rate (gK) =</t>
  </si>
  <si>
    <t>K gro/per=</t>
  </si>
  <si>
    <t>This is the value of an option to acquire underl asset next period that will either be worth:</t>
  </si>
  <si>
    <t>or:</t>
  </si>
  <si>
    <t>and:</t>
  </si>
  <si>
    <t>respectively.</t>
  </si>
  <si>
    <t>V gro/per=</t>
  </si>
  <si>
    <t>per annum</t>
  </si>
  <si>
    <t>And exercise price K=</t>
  </si>
  <si>
    <t>Volatility (sigma) =</t>
  </si>
  <si>
    <t>sig/period=</t>
  </si>
  <si>
    <t>The "hedge ratio" (aka "N", or "delta"), the number of underl asset shares to acquire, is:</t>
  </si>
  <si>
    <t>. The Bond purchase amt (aka "B") is:</t>
  </si>
  <si>
    <t>V(initial) =</t>
  </si>
  <si>
    <t>yK/period=</t>
  </si>
  <si>
    <t>. Otherwise we can construct a riskless profitable arbitrage by going long or short in the option.</t>
  </si>
  <si>
    <t>K(initial) =</t>
  </si>
  <si>
    <t>"p" real prob=</t>
  </si>
  <si>
    <t>of up.</t>
  </si>
  <si>
    <t>This is equivalent to the valuation formulas used in the spreadsheet below:</t>
  </si>
  <si>
    <t>"u" =</t>
  </si>
  <si>
    <t>"d" =</t>
  </si>
  <si>
    <t>*Note: All input rates nominal annual rates.</t>
  </si>
  <si>
    <t>Option Val=</t>
  </si>
  <si>
    <t>Amer</t>
  </si>
  <si>
    <t>PerAnnum</t>
  </si>
  <si>
    <t>12=period volatility:</t>
  </si>
  <si>
    <t>Expected Values of V:</t>
  </si>
  <si>
    <t>V tree (net of payout, "ex dividend" values):</t>
  </si>
  <si>
    <t>Tree real probabilities:</t>
  </si>
  <si>
    <t>For computation of Expected Value of V…</t>
  </si>
  <si>
    <t>K Value Tree:</t>
  </si>
  <si>
    <t>Eurpoean Call Option Value Tree:</t>
  </si>
  <si>
    <t>Optimal exercise:</t>
  </si>
  <si>
    <t>Computation of option OCC based on certainty-equivalence formula:</t>
  </si>
  <si>
    <t>E[C(t+1)]/(1+E[r(c )(t)])=CEQ[C(t+1)]/(1+rf)</t>
  </si>
  <si>
    <t>==&gt; (1+E[r(c )(t)) =(1+rf)*E[C(t+1)]/CEQ[C(t+1)]</t>
  </si>
  <si>
    <t>1-Period Option Opportunity Cost of Capital:</t>
  </si>
  <si>
    <t>Option Opportunity Cost of Capital per Annum (EAR):</t>
  </si>
  <si>
    <r>
      <t>Period length (</t>
    </r>
    <r>
      <rPr>
        <i/>
        <sz val="12"/>
        <rFont val="Arial MT"/>
      </rPr>
      <t>T/n</t>
    </r>
    <r>
      <rPr>
        <sz val="12"/>
        <rFont val="Arial MT"/>
      </rPr>
      <t>) in yrs =</t>
    </r>
  </si>
  <si>
    <r>
      <t>V</t>
    </r>
    <r>
      <rPr>
        <sz val="12"/>
        <rFont val="Times New Roman"/>
        <family val="1"/>
      </rPr>
      <t xml:space="preserve"> tree (net of payout, "ex dividend" values):</t>
    </r>
  </si>
  <si>
    <r>
      <t>Period ("</t>
    </r>
    <r>
      <rPr>
        <i/>
        <sz val="12"/>
        <rFont val="Times New Roman"/>
        <family val="1"/>
      </rPr>
      <t>j</t>
    </r>
    <r>
      <rPr>
        <sz val="12"/>
        <rFont val="Times New Roman"/>
        <family val="1"/>
      </rPr>
      <t>"):</t>
    </r>
  </si>
  <si>
    <r>
      <t>"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" =</t>
    </r>
  </si>
  <si>
    <r>
      <t>"down" moves ("</t>
    </r>
    <r>
      <rPr>
        <i/>
        <sz val="12"/>
        <rFont val="Times New Roman"/>
        <family val="1"/>
      </rPr>
      <t>i"):</t>
    </r>
  </si>
  <si>
    <t>Cash yield (yV) =</t>
  </si>
  <si>
    <t>"q" rsk-neut prob=</t>
  </si>
  <si>
    <t>Difference Risk-Neutral Valuation - Certainty-Equivalent Valuation:</t>
  </si>
  <si>
    <t>Euro</t>
  </si>
  <si>
    <r>
      <t>Risk-Neutral Binomial Model Example…</t>
    </r>
    <r>
      <rPr>
        <sz val="12"/>
        <rFont val="Arial MT"/>
      </rPr>
      <t xml:space="preserve"> (12 periods), demonstrating equivalence of risk-neutral option valuation and certainty-equivalance option valuation. (See B102:N114 below.)</t>
    </r>
  </si>
  <si>
    <t>(Obviously if the European option is equivalent, then the American will be as well.)</t>
  </si>
  <si>
    <t>Tree risk-neutral probabilities:</t>
  </si>
  <si>
    <t>Risk-neutral Dynamics Expected Values of V:</t>
  </si>
  <si>
    <t>Input Values:</t>
  </si>
  <si>
    <t>Underlying asset (built property) current mkt value (V)</t>
  </si>
  <si>
    <t>Construction cost exclusive of land (K)</t>
  </si>
  <si>
    <t>Output values:</t>
  </si>
  <si>
    <t>Optimal immediate exercise (development)?:</t>
  </si>
  <si>
    <t>Project volatility (sigma) = sqrt(var(V)+var(K)-2cov(V,K))</t>
  </si>
  <si>
    <t>Underlying asset (built property) current yield (yV)</t>
  </si>
  <si>
    <t>Construction cost yield (yK)</t>
  </si>
  <si>
    <t>Samuelson-McKean Formula:</t>
  </si>
  <si>
    <t>OCC of built property (Not nec to val option)</t>
  </si>
  <si>
    <t>Riskless rate (Rf) (Not nec to val option)</t>
  </si>
  <si>
    <t>Implied OCC of (live) option</t>
  </si>
  <si>
    <t>European Option Value Tree for 12 Month Option:</t>
  </si>
  <si>
    <t>Development is possible only in month 12:</t>
  </si>
  <si>
    <t>Construction Cost Tree for 12 Months (in $ millions):</t>
  </si>
  <si>
    <t>American Option Value Tree for 12 Month Option:</t>
  </si>
  <si>
    <t>Development possible in any month:</t>
  </si>
  <si>
    <t>Time to build (periods)</t>
  </si>
  <si>
    <t>Time to build (years)</t>
  </si>
  <si>
    <r>
      <t>Binomial Model Example with Time to Build…</t>
    </r>
    <r>
      <rPr>
        <sz val="12"/>
        <rFont val="Arial MT"/>
      </rPr>
      <t xml:space="preserve"> (12 periods) </t>
    </r>
  </si>
  <si>
    <t>/yr=OCC 1st per</t>
  </si>
  <si>
    <t>PV of 18-mo forward cost of construction</t>
  </si>
  <si>
    <t>Development possible in any month, takes 18 months from then:</t>
  </si>
  <si>
    <t>American Option Optimal Exercise for 12 Month Option:</t>
  </si>
  <si>
    <t>Office Building Value Tree:</t>
  </si>
  <si>
    <t>Critical Current Value of Underlying Asset (optimal development at not below):</t>
  </si>
  <si>
    <t>Hurdle Benefit/Cost Ratio (V*/K) (PV[FV] terms)</t>
  </si>
  <si>
    <t>V*=</t>
  </si>
  <si>
    <t>(B/C)* @ current=</t>
  </si>
  <si>
    <t>Chart for:</t>
  </si>
  <si>
    <t>Samuelson-McKean formula</t>
  </si>
  <si>
    <t>V</t>
  </si>
  <si>
    <t>Bound</t>
  </si>
  <si>
    <t>C1</t>
  </si>
  <si>
    <t>C2</t>
  </si>
  <si>
    <t>Arbitrage Valuation:</t>
  </si>
  <si>
    <t>Pu = NVu - B(1+rf) = Cu, Pd = NVd - B(1+rf) = Cd solved for N and B, ==&gt; N==(Cu-Cd)/(Vu-Vd), B==(NVd-Cd)/(1+rf), with evaluation of present option value:</t>
  </si>
  <si>
    <t>C=Max(V-K,NV-B) where present value V (after comma only) is not current time zero value of V but rather:</t>
  </si>
  <si>
    <t>E[V]/(1+rV) = (pVu+(1-p)Vd)/(1+rV) = V[(1+rV)/(1+yV)]/(1+rV) = V(1+gV)/(1+rV) = V/(1+yV) where yV is the payout rate of V.</t>
  </si>
  <si>
    <t>Consider the value of the option at node (0,0) (that is, at time 0, the present), with no immediate exercise possibility (Euro value).</t>
  </si>
  <si>
    <t>with actual (real) probabilities:</t>
  </si>
  <si>
    <t>The Euro option is then valued as: NV-B =</t>
  </si>
  <si>
    <r>
      <t>Binomial Model Example…</t>
    </r>
    <r>
      <rPr>
        <sz val="12"/>
        <rFont val="Arial MT"/>
      </rPr>
      <t xml:space="preserve"> (1 period) </t>
    </r>
  </si>
  <si>
    <t>Underl Asset</t>
  </si>
  <si>
    <t>Option</t>
  </si>
  <si>
    <t>E[r] =</t>
  </si>
  <si>
    <t>r(up)=</t>
  </si>
  <si>
    <t>r(down)=</t>
  </si>
  <si>
    <t>STD[r]=</t>
  </si>
  <si>
    <t>Comparison:</t>
  </si>
  <si>
    <t>Ratio of vol</t>
  </si>
  <si>
    <t>Ratio of RP</t>
  </si>
  <si>
    <t>Ratio of spread</t>
  </si>
  <si>
    <t>Expected Value of V:</t>
  </si>
  <si>
    <t>Net of payout("ex dividend") value:</t>
  </si>
  <si>
    <t>=</t>
  </si>
  <si>
    <t>CEQ[next yr] =</t>
  </si>
  <si>
    <t>K Value:</t>
  </si>
  <si>
    <t>Eurpoean Call Option Value:</t>
  </si>
  <si>
    <t>American Call Option Value:</t>
  </si>
  <si>
    <r>
      <t>Month</t>
    </r>
    <r>
      <rPr>
        <sz val="12"/>
        <rFont val="Times New Roman"/>
        <family val="1"/>
      </rPr>
      <t>:</t>
    </r>
  </si>
  <si>
    <r>
      <t>American Call Option Value Tree</t>
    </r>
    <r>
      <rPr>
        <i/>
        <sz val="12"/>
        <rFont val="Times New Roman"/>
        <family val="1"/>
      </rPr>
      <t>:</t>
    </r>
  </si>
  <si>
    <t>PV[today, of next yr val] =</t>
  </si>
  <si>
    <t>V:</t>
  </si>
  <si>
    <t>K:</t>
  </si>
  <si>
    <t>C:</t>
  </si>
  <si>
    <r>
      <t>"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" = 12</t>
    </r>
  </si>
  <si>
    <t>per annum EAR</t>
  </si>
  <si>
    <t>Current opt action:</t>
  </si>
  <si>
    <t>Option OCC</t>
  </si>
  <si>
    <t>Underlying Asset Value Tree for 12 Periods:</t>
  </si>
  <si>
    <t>TTB = 0</t>
  </si>
  <si>
    <t>Underlying Asset Value Tree with Time to Build:</t>
  </si>
  <si>
    <t>Construction cost with Time to Build:</t>
  </si>
  <si>
    <t>American Option Value Tree with Time to Build:</t>
  </si>
  <si>
    <t>Optimal Exercise with Time to Build:</t>
  </si>
  <si>
    <t>OCC with Time to Build:</t>
  </si>
  <si>
    <t>European Option with time to build:</t>
  </si>
  <si>
    <r>
      <t>Office building values (</t>
    </r>
    <r>
      <rPr>
        <i/>
        <sz val="12"/>
        <rFont val="Times New Roman"/>
        <family val="1"/>
      </rPr>
      <t xml:space="preserve">"V" </t>
    </r>
    <r>
      <rPr>
        <sz val="12"/>
        <rFont val="Times New Roman"/>
        <family val="1"/>
      </rPr>
      <t>ex-dividend, new):</t>
    </r>
  </si>
  <si>
    <r>
      <t>Period (</t>
    </r>
    <r>
      <rPr>
        <i/>
        <sz val="12"/>
        <rFont val="Times New Roman"/>
        <family val="1"/>
      </rPr>
      <t>"j"</t>
    </r>
    <r>
      <rPr>
        <sz val="12"/>
        <rFont val="Times New Roman"/>
        <family val="1"/>
      </rPr>
      <t>):</t>
    </r>
  </si>
  <si>
    <r>
      <t>n</t>
    </r>
    <r>
      <rPr>
        <sz val="12"/>
        <rFont val="Times New Roman"/>
        <family val="1"/>
      </rPr>
      <t xml:space="preserve"> = 12</t>
    </r>
  </si>
  <si>
    <r>
      <t>Office Building Construction Costs (</t>
    </r>
    <r>
      <rPr>
        <i/>
        <sz val="12"/>
        <rFont val="Times New Roman"/>
        <family val="1"/>
      </rPr>
      <t>"K"</t>
    </r>
    <r>
      <rPr>
        <sz val="12"/>
        <rFont val="Times New Roman"/>
        <family val="1"/>
      </rPr>
      <t>):</t>
    </r>
  </si>
  <si>
    <t>Input from other worksheet*:</t>
  </si>
  <si>
    <t>real:</t>
  </si>
  <si>
    <t>Current Land Value (C)</t>
  </si>
  <si>
    <t>Optimal land value fraction at devlpt (current values) = 1/eta:</t>
  </si>
  <si>
    <t>Instantaneous Rates:</t>
  </si>
  <si>
    <t>Projected construction cost at completion after time to build:</t>
  </si>
  <si>
    <t>Projected construction profit at completion after time to build:</t>
  </si>
  <si>
    <t>Current observable value of underlying asset:</t>
  </si>
  <si>
    <t>Current observable value of construction cost:</t>
  </si>
  <si>
    <t>Current value of the land:</t>
  </si>
  <si>
    <t>OCC (expected return) for Development Project:</t>
  </si>
  <si>
    <t>Land value fraction of Project Value (current values):</t>
  </si>
  <si>
    <t>Land value fraction of Project Value (asset present values):</t>
  </si>
  <si>
    <t>Current land value fraction of Project Completed Value (after ttb):</t>
  </si>
  <si>
    <t>Projected construction profit as fraction of project value at completion:</t>
  </si>
  <si>
    <t>(Based on cross-mkt equilibrium condition.)</t>
  </si>
  <si>
    <t>(1/eta)</t>
  </si>
  <si>
    <t>Projected completed building value after time to build:</t>
  </si>
  <si>
    <t>with Fisher-Margrabe extension &amp; time to build…</t>
  </si>
  <si>
    <t>Black-Scholes European Option Value:</t>
  </si>
  <si>
    <t>Time to Expiration of the Option:</t>
  </si>
  <si>
    <r>
      <t xml:space="preserve">Option (land value) elasticity [ </t>
    </r>
    <r>
      <rPr>
        <i/>
        <sz val="12"/>
        <rFont val="Arial MT"/>
      </rPr>
      <t>"eta"</t>
    </r>
    <r>
      <rPr>
        <sz val="12"/>
        <rFont val="Arial MT"/>
      </rPr>
      <t xml:space="preserve"> = </t>
    </r>
    <r>
      <rPr>
        <i/>
        <sz val="12"/>
        <rFont val="Arial MT"/>
      </rPr>
      <t>(dC/C)/(dV/V)</t>
    </r>
    <r>
      <rPr>
        <sz val="12"/>
        <rFont val="Arial MT"/>
      </rPr>
      <t xml:space="preserve"> ]:</t>
    </r>
  </si>
  <si>
    <r>
      <t xml:space="preserve">Option (land value) elasticity ( </t>
    </r>
    <r>
      <rPr>
        <i/>
        <sz val="12"/>
        <rFont val="Arial MT"/>
      </rPr>
      <t>"eta"</t>
    </r>
    <r>
      <rPr>
        <sz val="12"/>
        <rFont val="Arial MT"/>
      </rPr>
      <t xml:space="preserve"> = </t>
    </r>
    <r>
      <rPr>
        <i/>
        <sz val="12"/>
        <rFont val="Arial MT"/>
      </rPr>
      <t xml:space="preserve">(dC/dV) / (C/V) </t>
    </r>
    <r>
      <rPr>
        <sz val="12"/>
        <rFont val="Arial MT"/>
      </rPr>
      <t>)</t>
    </r>
  </si>
  <si>
    <t>"x" =</t>
  </si>
  <si>
    <t>PV of underlying asset:</t>
  </si>
  <si>
    <t>Current Option Value:</t>
  </si>
  <si>
    <t>Option Delta (dC/dV)</t>
  </si>
  <si>
    <t>Option Elasticity (omega = (V/C)(dC/dV))</t>
  </si>
  <si>
    <t>Enter riskfree rate if exercise price is constant and riskless.</t>
  </si>
  <si>
    <t>with Fisher-Margrabe extension…</t>
  </si>
  <si>
    <t>This workbook is meant strictly for educational use. No liability is assumed for the content or usage of this educational tool.</t>
  </si>
  <si>
    <t>PV of forward claim on new office building (ex-dividend)</t>
  </si>
  <si>
    <r>
      <t xml:space="preserve">If development </t>
    </r>
    <r>
      <rPr>
        <b/>
        <i/>
        <u/>
        <sz val="12"/>
        <rFont val="Arial MT"/>
      </rPr>
      <t>were just</t>
    </r>
    <r>
      <rPr>
        <b/>
        <i/>
        <sz val="12"/>
        <rFont val="Arial MT"/>
      </rPr>
      <t xml:space="preserve"> optimal now…</t>
    </r>
  </si>
  <si>
    <t>The following worksheets explicate the numerical examples and exhibits in the main text Chapter 27 and the accompanying CD supplementary sections.</t>
  </si>
  <si>
    <t>(revised 12/03/07)</t>
  </si>
  <si>
    <t>Expected time until exercise:</t>
  </si>
  <si>
    <t>Yrs</t>
  </si>
  <si>
    <t>&lt;==Due to both growth drift (g = r - y) and volatility.</t>
  </si>
  <si>
    <t>Theta</t>
  </si>
  <si>
    <t>Beta</t>
  </si>
  <si>
    <t>SigV</t>
  </si>
  <si>
    <t>SigK</t>
  </si>
  <si>
    <t>CorrV,K</t>
  </si>
  <si>
    <t>SigP</t>
  </si>
  <si>
    <t>PV of frwd claim on fut bldg at optimal dvlpt start time: V*=</t>
  </si>
  <si>
    <t>This workbook is meant to accompany "Commercial Real Estate Analysis &amp; Investments", 3rd Edition, by D.Geltner &amp; N.Miller, Copyright © 2021 Mbition LLC.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</si>
</sst>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164" formatCode="General_)"/>
    <numFmt numFmtId="165" formatCode="&quot;$&quot;#,##0.00"/>
    <numFmt numFmtId="166" formatCode="&quot;$&quot;#,##0.0000"/>
    <numFmt numFmtId="167" formatCode="&quot;$&quot;#,##0"/>
    <numFmt numFmtId="168" formatCode="0.0000"/>
    <numFmt numFmtId="169" formatCode="0.00000"/>
    <numFmt numFmtId="170" formatCode="0.000000"/>
    <numFmt numFmtId="171" formatCode="0.0000%"/>
    <numFmt numFmtId="172" formatCode="0.00000%"/>
    <numFmt numFmtId="173" formatCode="0.0%"/>
    <numFmt numFmtId="174" formatCode="0.000"/>
    <numFmt numFmtId="175" formatCode="#,##0.0000_);\(#,##0.0000\)"/>
    <numFmt numFmtId="176" formatCode="&quot;$&quot;#,##0.000"/>
  </numFmts>
  <fonts count="14">
    <font>
      <sz val="12"/>
      <name val="Arial MT"/>
    </font>
    <font>
      <sz val="8"/>
      <name val="Arial MT"/>
    </font>
    <font>
      <b/>
      <sz val="12"/>
      <name val="Arial MT"/>
    </font>
    <font>
      <b/>
      <i/>
      <sz val="12"/>
      <name val="Arial MT"/>
    </font>
    <font>
      <i/>
      <sz val="12"/>
      <name val="Arial MT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10"/>
      <name val="Arial MT"/>
    </font>
    <font>
      <b/>
      <i/>
      <sz val="12"/>
      <name val="Times New Roman"/>
      <family val="1"/>
    </font>
    <font>
      <b/>
      <i/>
      <u/>
      <sz val="12"/>
      <name val="Arial MT"/>
    </font>
    <font>
      <sz val="12"/>
      <name val="Arial MT"/>
    </font>
    <font>
      <sz val="12"/>
      <color indexed="12"/>
      <name val="Arial MT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27">
    <xf numFmtId="164" fontId="0" fillId="0" borderId="0" xfId="0"/>
    <xf numFmtId="164" fontId="2" fillId="0" borderId="0" xfId="0" applyFont="1"/>
    <xf numFmtId="10" fontId="0" fillId="0" borderId="0" xfId="0" applyNumberFormat="1"/>
    <xf numFmtId="164" fontId="0" fillId="2" borderId="0" xfId="0" applyFill="1"/>
    <xf numFmtId="164" fontId="0" fillId="0" borderId="0" xfId="0" applyFill="1" applyBorder="1"/>
    <xf numFmtId="164" fontId="3" fillId="3" borderId="1" xfId="0" applyFont="1" applyFill="1" applyBorder="1"/>
    <xf numFmtId="164" fontId="0" fillId="3" borderId="2" xfId="0" applyFill="1" applyBorder="1"/>
    <xf numFmtId="164" fontId="3" fillId="4" borderId="1" xfId="0" applyFont="1" applyFill="1" applyBorder="1"/>
    <xf numFmtId="164" fontId="0" fillId="4" borderId="3" xfId="0" applyFill="1" applyBorder="1"/>
    <xf numFmtId="164" fontId="0" fillId="3" borderId="4" xfId="0" applyFill="1" applyBorder="1"/>
    <xf numFmtId="168" fontId="0" fillId="3" borderId="0" xfId="0" applyNumberFormat="1" applyFill="1" applyBorder="1"/>
    <xf numFmtId="164" fontId="0" fillId="4" borderId="4" xfId="0" applyFill="1" applyBorder="1"/>
    <xf numFmtId="164" fontId="0" fillId="4" borderId="5" xfId="0" applyFill="1" applyBorder="1"/>
    <xf numFmtId="164" fontId="0" fillId="0" borderId="0" xfId="0" quotePrefix="1"/>
    <xf numFmtId="10" fontId="0" fillId="3" borderId="0" xfId="0" applyNumberFormat="1" applyFill="1" applyBorder="1"/>
    <xf numFmtId="10" fontId="0" fillId="4" borderId="5" xfId="0" applyNumberFormat="1" applyFill="1" applyBorder="1"/>
    <xf numFmtId="164" fontId="0" fillId="0" borderId="0" xfId="0" applyFill="1"/>
    <xf numFmtId="164" fontId="0" fillId="3" borderId="0" xfId="0" applyFill="1" applyBorder="1"/>
    <xf numFmtId="9" fontId="0" fillId="3" borderId="0" xfId="0" applyNumberFormat="1" applyFill="1" applyBorder="1"/>
    <xf numFmtId="165" fontId="0" fillId="2" borderId="0" xfId="0" applyNumberFormat="1" applyFill="1"/>
    <xf numFmtId="165" fontId="0" fillId="3" borderId="0" xfId="0" applyNumberFormat="1" applyFill="1" applyBorder="1"/>
    <xf numFmtId="168" fontId="0" fillId="4" borderId="5" xfId="0" applyNumberFormat="1" applyFill="1" applyBorder="1"/>
    <xf numFmtId="164" fontId="0" fillId="4" borderId="4" xfId="0" applyFill="1" applyBorder="1" applyAlignment="1">
      <alignment horizontal="right"/>
    </xf>
    <xf numFmtId="168" fontId="0" fillId="4" borderId="5" xfId="0" applyNumberFormat="1" applyFill="1" applyBorder="1" applyAlignment="1">
      <alignment horizontal="right"/>
    </xf>
    <xf numFmtId="165" fontId="0" fillId="0" borderId="0" xfId="0" applyNumberFormat="1" applyFill="1" applyBorder="1"/>
    <xf numFmtId="164" fontId="0" fillId="4" borderId="6" xfId="0" applyFill="1" applyBorder="1" applyAlignment="1">
      <alignment horizontal="right"/>
    </xf>
    <xf numFmtId="164" fontId="0" fillId="3" borderId="6" xfId="0" applyFill="1" applyBorder="1"/>
    <xf numFmtId="164" fontId="0" fillId="3" borderId="7" xfId="0" applyFill="1" applyBorder="1"/>
    <xf numFmtId="164" fontId="2" fillId="4" borderId="8" xfId="0" applyFont="1" applyFill="1" applyBorder="1"/>
    <xf numFmtId="165" fontId="2" fillId="4" borderId="7" xfId="0" applyNumberFormat="1" applyFont="1" applyFill="1" applyBorder="1"/>
    <xf numFmtId="164" fontId="2" fillId="0" borderId="0" xfId="0" applyFont="1" applyFill="1" applyBorder="1"/>
    <xf numFmtId="165" fontId="2" fillId="0" borderId="0" xfId="0" applyNumberFormat="1" applyFont="1" applyFill="1" applyBorder="1"/>
    <xf numFmtId="164" fontId="6" fillId="0" borderId="0" xfId="0" applyFont="1"/>
    <xf numFmtId="164" fontId="2" fillId="0" borderId="0" xfId="0" applyFont="1" applyAlignment="1">
      <alignment horizontal="right"/>
    </xf>
    <xf numFmtId="164" fontId="5" fillId="0" borderId="0" xfId="0" applyFont="1"/>
    <xf numFmtId="164" fontId="5" fillId="0" borderId="0" xfId="0" applyFont="1" applyAlignment="1">
      <alignment horizontal="right"/>
    </xf>
    <xf numFmtId="164" fontId="0" fillId="0" borderId="0" xfId="0" applyFill="1" applyBorder="1" applyAlignment="1">
      <alignment horizontal="right"/>
    </xf>
    <xf numFmtId="10" fontId="0" fillId="2" borderId="9" xfId="0" applyNumberFormat="1" applyFill="1" applyBorder="1" applyAlignment="1">
      <alignment horizontal="center"/>
    </xf>
    <xf numFmtId="164" fontId="6" fillId="0" borderId="0" xfId="0" applyFont="1" applyAlignment="1">
      <alignment horizontal="right"/>
    </xf>
    <xf numFmtId="165" fontId="5" fillId="0" borderId="10" xfId="0" applyNumberFormat="1" applyFont="1" applyBorder="1"/>
    <xf numFmtId="165" fontId="5" fillId="0" borderId="10" xfId="0" applyNumberFormat="1" applyFont="1" applyFill="1" applyBorder="1"/>
    <xf numFmtId="164" fontId="5" fillId="0" borderId="0" xfId="0" applyFont="1" applyAlignment="1">
      <alignment horizontal="center"/>
    </xf>
    <xf numFmtId="10" fontId="0" fillId="0" borderId="0" xfId="0" applyNumberFormat="1" applyFill="1" applyBorder="1"/>
    <xf numFmtId="2" fontId="5" fillId="0" borderId="0" xfId="0" applyNumberFormat="1" applyFont="1"/>
    <xf numFmtId="2" fontId="0" fillId="0" borderId="0" xfId="0" applyNumberFormat="1" applyFill="1" applyBorder="1"/>
    <xf numFmtId="167" fontId="0" fillId="0" borderId="1" xfId="0" applyNumberFormat="1" applyBorder="1"/>
    <xf numFmtId="9" fontId="0" fillId="0" borderId="3" xfId="0" applyNumberFormat="1" applyBorder="1"/>
    <xf numFmtId="167" fontId="0" fillId="0" borderId="4" xfId="0" applyNumberFormat="1" applyBorder="1"/>
    <xf numFmtId="9" fontId="0" fillId="0" borderId="5" xfId="0" applyNumberFormat="1" applyBorder="1"/>
    <xf numFmtId="2" fontId="5" fillId="0" borderId="0" xfId="0" applyNumberFormat="1" applyFont="1" applyFill="1"/>
    <xf numFmtId="10" fontId="5" fillId="0" borderId="0" xfId="0" applyNumberFormat="1" applyFont="1" applyFill="1"/>
    <xf numFmtId="165" fontId="5" fillId="0" borderId="0" xfId="0" applyNumberFormat="1" applyFont="1" applyFill="1"/>
    <xf numFmtId="167" fontId="0" fillId="0" borderId="6" xfId="0" applyNumberFormat="1" applyBorder="1"/>
    <xf numFmtId="9" fontId="0" fillId="0" borderId="7" xfId="0" applyNumberFormat="1" applyBorder="1"/>
    <xf numFmtId="165" fontId="5" fillId="0" borderId="0" xfId="0" applyNumberFormat="1" applyFont="1"/>
    <xf numFmtId="164" fontId="0" fillId="0" borderId="0" xfId="0" applyBorder="1"/>
    <xf numFmtId="169" fontId="5" fillId="0" borderId="0" xfId="0" applyNumberFormat="1" applyFont="1"/>
    <xf numFmtId="164" fontId="5" fillId="0" borderId="11" xfId="0" applyFont="1" applyBorder="1"/>
    <xf numFmtId="164" fontId="5" fillId="0" borderId="10" xfId="0" applyFont="1" applyBorder="1"/>
    <xf numFmtId="164" fontId="0" fillId="0" borderId="0" xfId="0" applyBorder="1" applyAlignment="1">
      <alignment horizontal="right"/>
    </xf>
    <xf numFmtId="168" fontId="5" fillId="0" borderId="0" xfId="0" applyNumberFormat="1" applyFont="1"/>
    <xf numFmtId="1" fontId="0" fillId="0" borderId="0" xfId="0" applyNumberFormat="1"/>
    <xf numFmtId="164" fontId="0" fillId="3" borderId="1" xfId="0" applyFill="1" applyBorder="1"/>
    <xf numFmtId="164" fontId="0" fillId="3" borderId="3" xfId="0" applyFill="1" applyBorder="1"/>
    <xf numFmtId="168" fontId="0" fillId="3" borderId="4" xfId="0" applyNumberFormat="1" applyFill="1" applyBorder="1"/>
    <xf numFmtId="168" fontId="0" fillId="3" borderId="5" xfId="0" applyNumberFormat="1" applyFill="1" applyBorder="1"/>
    <xf numFmtId="168" fontId="0" fillId="3" borderId="6" xfId="0" applyNumberFormat="1" applyFill="1" applyBorder="1"/>
    <xf numFmtId="168" fontId="0" fillId="3" borderId="8" xfId="0" applyNumberFormat="1" applyFill="1" applyBorder="1"/>
    <xf numFmtId="168" fontId="0" fillId="3" borderId="7" xfId="0" applyNumberFormat="1" applyFill="1" applyBorder="1"/>
    <xf numFmtId="2" fontId="0" fillId="0" borderId="0" xfId="0" applyNumberFormat="1"/>
    <xf numFmtId="171" fontId="0" fillId="0" borderId="0" xfId="0" applyNumberFormat="1" applyFill="1" applyBorder="1"/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173" fontId="5" fillId="0" borderId="0" xfId="0" applyNumberFormat="1" applyFont="1" applyAlignment="1">
      <alignment horizontal="right"/>
    </xf>
    <xf numFmtId="164" fontId="0" fillId="0" borderId="0" xfId="0" applyAlignment="1">
      <alignment horizontal="right"/>
    </xf>
    <xf numFmtId="164" fontId="0" fillId="0" borderId="0" xfId="0" applyAlignment="1"/>
    <xf numFmtId="164" fontId="0" fillId="4" borderId="1" xfId="0" applyFill="1" applyBorder="1"/>
    <xf numFmtId="164" fontId="0" fillId="4" borderId="2" xfId="0" applyFill="1" applyBorder="1"/>
    <xf numFmtId="164" fontId="0" fillId="4" borderId="0" xfId="0" applyFill="1" applyBorder="1"/>
    <xf numFmtId="164" fontId="0" fillId="4" borderId="0" xfId="0" applyFill="1" applyBorder="1" applyAlignment="1">
      <alignment horizontal="right"/>
    </xf>
    <xf numFmtId="164" fontId="0" fillId="4" borderId="5" xfId="0" applyFill="1" applyBorder="1" applyAlignment="1">
      <alignment horizontal="right"/>
    </xf>
    <xf numFmtId="10" fontId="0" fillId="4" borderId="0" xfId="0" applyNumberFormat="1" applyFill="1" applyBorder="1"/>
    <xf numFmtId="164" fontId="0" fillId="4" borderId="0" xfId="0" applyFill="1" applyBorder="1" applyAlignment="1"/>
    <xf numFmtId="164" fontId="0" fillId="4" borderId="5" xfId="0" quotePrefix="1" applyFill="1" applyBorder="1"/>
    <xf numFmtId="10" fontId="0" fillId="4" borderId="4" xfId="0" applyNumberFormat="1" applyFill="1" applyBorder="1"/>
    <xf numFmtId="164" fontId="0" fillId="4" borderId="6" xfId="0" applyFill="1" applyBorder="1"/>
    <xf numFmtId="164" fontId="0" fillId="4" borderId="8" xfId="0" applyFill="1" applyBorder="1"/>
    <xf numFmtId="164" fontId="0" fillId="4" borderId="7" xfId="0" applyFill="1" applyBorder="1"/>
    <xf numFmtId="165" fontId="5" fillId="0" borderId="0" xfId="0" applyNumberFormat="1" applyFont="1" applyBorder="1"/>
    <xf numFmtId="165" fontId="5" fillId="0" borderId="0" xfId="0" applyNumberFormat="1" applyFont="1" applyFill="1" applyBorder="1"/>
    <xf numFmtId="164" fontId="5" fillId="0" borderId="0" xfId="0" applyFont="1" applyBorder="1"/>
    <xf numFmtId="7" fontId="5" fillId="0" borderId="0" xfId="0" applyNumberFormat="1" applyFont="1"/>
    <xf numFmtId="165" fontId="5" fillId="0" borderId="0" xfId="0" applyNumberFormat="1" applyFont="1" applyAlignment="1">
      <alignment horizontal="left"/>
    </xf>
    <xf numFmtId="164" fontId="0" fillId="4" borderId="12" xfId="0" applyFill="1" applyBorder="1"/>
    <xf numFmtId="164" fontId="6" fillId="4" borderId="13" xfId="0" applyFont="1" applyFill="1" applyBorder="1"/>
    <xf numFmtId="164" fontId="0" fillId="4" borderId="13" xfId="0" applyFill="1" applyBorder="1"/>
    <xf numFmtId="164" fontId="2" fillId="4" borderId="14" xfId="0" applyFont="1" applyFill="1" applyBorder="1" applyAlignment="1">
      <alignment horizontal="right"/>
    </xf>
    <xf numFmtId="164" fontId="0" fillId="4" borderId="15" xfId="0" applyFill="1" applyBorder="1"/>
    <xf numFmtId="164" fontId="5" fillId="4" borderId="0" xfId="0" applyFont="1" applyFill="1" applyBorder="1"/>
    <xf numFmtId="164" fontId="5" fillId="4" borderId="16" xfId="0" applyFont="1" applyFill="1" applyBorder="1"/>
    <xf numFmtId="165" fontId="5" fillId="4" borderId="16" xfId="0" applyNumberFormat="1" applyFont="1" applyFill="1" applyBorder="1"/>
    <xf numFmtId="164" fontId="5" fillId="4" borderId="15" xfId="0" applyFont="1" applyFill="1" applyBorder="1" applyAlignment="1">
      <alignment horizontal="center"/>
    </xf>
    <xf numFmtId="2" fontId="5" fillId="4" borderId="0" xfId="0" applyNumberFormat="1" applyFont="1" applyFill="1" applyBorder="1"/>
    <xf numFmtId="2" fontId="5" fillId="4" borderId="16" xfId="0" applyNumberFormat="1" applyFont="1" applyFill="1" applyBorder="1"/>
    <xf numFmtId="165" fontId="5" fillId="4" borderId="0" xfId="0" applyNumberFormat="1" applyFont="1" applyFill="1" applyBorder="1"/>
    <xf numFmtId="164" fontId="5" fillId="4" borderId="0" xfId="0" applyFont="1" applyFill="1" applyBorder="1" applyAlignment="1">
      <alignment horizontal="center"/>
    </xf>
    <xf numFmtId="165" fontId="5" fillId="4" borderId="16" xfId="0" applyNumberFormat="1" applyFont="1" applyFill="1" applyBorder="1" applyAlignment="1">
      <alignment horizontal="left"/>
    </xf>
    <xf numFmtId="164" fontId="5" fillId="4" borderId="11" xfId="0" applyFont="1" applyFill="1" applyBorder="1" applyAlignment="1">
      <alignment horizontal="center"/>
    </xf>
    <xf numFmtId="7" fontId="5" fillId="4" borderId="10" xfId="0" applyNumberFormat="1" applyFont="1" applyFill="1" applyBorder="1"/>
    <xf numFmtId="164" fontId="5" fillId="4" borderId="10" xfId="0" applyFont="1" applyFill="1" applyBorder="1" applyAlignment="1">
      <alignment horizontal="center"/>
    </xf>
    <xf numFmtId="165" fontId="5" fillId="4" borderId="17" xfId="0" applyNumberFormat="1" applyFont="1" applyFill="1" applyBorder="1" applyAlignment="1">
      <alignment horizontal="left"/>
    </xf>
    <xf numFmtId="164" fontId="5" fillId="4" borderId="13" xfId="0" applyFont="1" applyFill="1" applyBorder="1"/>
    <xf numFmtId="164" fontId="5" fillId="4" borderId="14" xfId="0" applyFont="1" applyFill="1" applyBorder="1"/>
    <xf numFmtId="164" fontId="6" fillId="4" borderId="0" xfId="0" applyFont="1" applyFill="1" applyBorder="1"/>
    <xf numFmtId="2" fontId="5" fillId="4" borderId="10" xfId="0" applyNumberFormat="1" applyFont="1" applyFill="1" applyBorder="1"/>
    <xf numFmtId="2" fontId="5" fillId="4" borderId="17" xfId="0" applyNumberFormat="1" applyFont="1" applyFill="1" applyBorder="1"/>
    <xf numFmtId="164" fontId="5" fillId="4" borderId="15" xfId="0" applyFont="1" applyFill="1" applyBorder="1"/>
    <xf numFmtId="10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/>
    <xf numFmtId="167" fontId="0" fillId="0" borderId="0" xfId="0" applyNumberForma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2" fillId="4" borderId="0" xfId="0" applyNumberFormat="1" applyFont="1" applyFill="1" applyBorder="1"/>
    <xf numFmtId="164" fontId="2" fillId="4" borderId="18" xfId="0" applyFont="1" applyFill="1" applyBorder="1"/>
    <xf numFmtId="165" fontId="2" fillId="4" borderId="19" xfId="0" applyNumberFormat="1" applyFont="1" applyFill="1" applyBorder="1"/>
    <xf numFmtId="168" fontId="0" fillId="4" borderId="7" xfId="0" applyNumberFormat="1" applyFill="1" applyBorder="1" applyAlignment="1"/>
    <xf numFmtId="165" fontId="0" fillId="2" borderId="0" xfId="0" applyNumberFormat="1" applyFill="1" applyAlignment="1">
      <alignment horizontal="left"/>
    </xf>
    <xf numFmtId="168" fontId="0" fillId="2" borderId="0" xfId="0" applyNumberFormat="1" applyFill="1" applyAlignment="1">
      <alignment horizontal="left"/>
    </xf>
    <xf numFmtId="7" fontId="5" fillId="4" borderId="0" xfId="0" applyNumberFormat="1" applyFont="1" applyFill="1" applyBorder="1" applyAlignment="1">
      <alignment horizontal="center"/>
    </xf>
    <xf numFmtId="164" fontId="6" fillId="4" borderId="10" xfId="0" applyFont="1" applyFill="1" applyBorder="1" applyAlignment="1">
      <alignment horizontal="right"/>
    </xf>
    <xf numFmtId="164" fontId="2" fillId="4" borderId="12" xfId="0" applyFont="1" applyFill="1" applyBorder="1"/>
    <xf numFmtId="164" fontId="8" fillId="4" borderId="12" xfId="0" applyFont="1" applyFill="1" applyBorder="1"/>
    <xf numFmtId="168" fontId="0" fillId="0" borderId="0" xfId="0" applyNumberFormat="1" applyFill="1" applyBorder="1"/>
    <xf numFmtId="10" fontId="0" fillId="0" borderId="0" xfId="0" applyNumberFormat="1" applyAlignment="1">
      <alignment horizontal="left"/>
    </xf>
    <xf numFmtId="10" fontId="0" fillId="2" borderId="20" xfId="0" applyNumberFormat="1" applyFill="1" applyBorder="1" applyAlignment="1">
      <alignment horizontal="center"/>
    </xf>
    <xf numFmtId="10" fontId="0" fillId="4" borderId="2" xfId="0" applyNumberFormat="1" applyFill="1" applyBorder="1"/>
    <xf numFmtId="10" fontId="0" fillId="4" borderId="3" xfId="0" applyNumberFormat="1" applyFill="1" applyBorder="1"/>
    <xf numFmtId="164" fontId="0" fillId="4" borderId="0" xfId="0" applyFill="1" applyBorder="1" applyAlignment="1">
      <alignment horizontal="center"/>
    </xf>
    <xf numFmtId="166" fontId="0" fillId="4" borderId="0" xfId="0" applyNumberFormat="1" applyFill="1" applyBorder="1"/>
    <xf numFmtId="168" fontId="0" fillId="4" borderId="0" xfId="0" applyNumberFormat="1" applyFill="1" applyBorder="1"/>
    <xf numFmtId="168" fontId="0" fillId="4" borderId="0" xfId="0" applyNumberFormat="1" applyFill="1" applyBorder="1" applyAlignment="1">
      <alignment horizontal="right"/>
    </xf>
    <xf numFmtId="170" fontId="0" fillId="4" borderId="5" xfId="0" applyNumberFormat="1" applyFill="1" applyBorder="1"/>
    <xf numFmtId="164" fontId="0" fillId="4" borderId="8" xfId="0" applyFill="1" applyBorder="1" applyAlignment="1"/>
    <xf numFmtId="10" fontId="0" fillId="4" borderId="8" xfId="0" applyNumberFormat="1" applyFill="1" applyBorder="1"/>
    <xf numFmtId="164" fontId="2" fillId="4" borderId="4" xfId="0" applyFont="1" applyFill="1" applyBorder="1"/>
    <xf numFmtId="164" fontId="2" fillId="4" borderId="0" xfId="0" applyFont="1" applyFill="1" applyBorder="1" applyAlignment="1">
      <alignment horizontal="left"/>
    </xf>
    <xf numFmtId="164" fontId="0" fillId="3" borderId="8" xfId="0" applyFill="1" applyBorder="1"/>
    <xf numFmtId="164" fontId="2" fillId="4" borderId="6" xfId="0" applyFont="1" applyFill="1" applyBorder="1"/>
    <xf numFmtId="173" fontId="7" fillId="4" borderId="8" xfId="0" applyNumberFormat="1" applyFont="1" applyFill="1" applyBorder="1"/>
    <xf numFmtId="164" fontId="5" fillId="4" borderId="8" xfId="0" quotePrefix="1" applyFont="1" applyFill="1" applyBorder="1"/>
    <xf numFmtId="164" fontId="6" fillId="4" borderId="13" xfId="0" applyFont="1" applyFill="1" applyBorder="1" applyAlignment="1">
      <alignment horizontal="right"/>
    </xf>
    <xf numFmtId="165" fontId="5" fillId="4" borderId="13" xfId="0" applyNumberFormat="1" applyFont="1" applyFill="1" applyBorder="1"/>
    <xf numFmtId="165" fontId="5" fillId="4" borderId="14" xfId="0" applyNumberFormat="1" applyFont="1" applyFill="1" applyBorder="1"/>
    <xf numFmtId="164" fontId="5" fillId="4" borderId="15" xfId="0" applyFont="1" applyFill="1" applyBorder="1" applyAlignment="1">
      <alignment horizontal="right"/>
    </xf>
    <xf numFmtId="164" fontId="5" fillId="4" borderId="0" xfId="0" applyFont="1" applyFill="1" applyBorder="1" applyAlignment="1">
      <alignment horizontal="right"/>
    </xf>
    <xf numFmtId="164" fontId="6" fillId="4" borderId="16" xfId="0" quotePrefix="1" applyFont="1" applyFill="1" applyBorder="1" applyAlignment="1">
      <alignment horizontal="right"/>
    </xf>
    <xf numFmtId="164" fontId="6" fillId="0" borderId="0" xfId="0" quotePrefix="1" applyFont="1" applyAlignment="1">
      <alignment horizontal="right"/>
    </xf>
    <xf numFmtId="164" fontId="5" fillId="0" borderId="0" xfId="0" applyFont="1" applyFill="1" applyBorder="1" applyAlignment="1">
      <alignment horizontal="right"/>
    </xf>
    <xf numFmtId="10" fontId="5" fillId="4" borderId="0" xfId="0" applyNumberFormat="1" applyFont="1" applyFill="1" applyBorder="1"/>
    <xf numFmtId="10" fontId="5" fillId="4" borderId="10" xfId="0" applyNumberFormat="1" applyFont="1" applyFill="1" applyBorder="1"/>
    <xf numFmtId="164" fontId="9" fillId="0" borderId="0" xfId="0" applyFont="1"/>
    <xf numFmtId="164" fontId="0" fillId="0" borderId="0" xfId="0" applyAlignment="1">
      <alignment horizontal="center"/>
    </xf>
    <xf numFmtId="164" fontId="5" fillId="0" borderId="15" xfId="0" applyFont="1" applyFill="1" applyBorder="1" applyAlignment="1">
      <alignment horizontal="right"/>
    </xf>
    <xf numFmtId="164" fontId="0" fillId="0" borderId="1" xfId="0" applyFill="1" applyBorder="1"/>
    <xf numFmtId="164" fontId="0" fillId="0" borderId="2" xfId="0" applyFill="1" applyBorder="1"/>
    <xf numFmtId="164" fontId="0" fillId="0" borderId="3" xfId="0" applyFill="1" applyBorder="1"/>
    <xf numFmtId="164" fontId="0" fillId="0" borderId="4" xfId="0" applyFill="1" applyBorder="1"/>
    <xf numFmtId="10" fontId="0" fillId="0" borderId="5" xfId="0" applyNumberFormat="1" applyBorder="1"/>
    <xf numFmtId="164" fontId="0" fillId="0" borderId="4" xfId="0" applyBorder="1"/>
    <xf numFmtId="164" fontId="0" fillId="0" borderId="5" xfId="0" applyBorder="1"/>
    <xf numFmtId="164" fontId="0" fillId="0" borderId="6" xfId="0" applyBorder="1"/>
    <xf numFmtId="164" fontId="0" fillId="0" borderId="8" xfId="0" applyBorder="1"/>
    <xf numFmtId="164" fontId="0" fillId="0" borderId="7" xfId="0" applyBorder="1"/>
    <xf numFmtId="164" fontId="0" fillId="3" borderId="0" xfId="0" applyFill="1"/>
    <xf numFmtId="164" fontId="10" fillId="2" borderId="12" xfId="0" applyFont="1" applyFill="1" applyBorder="1"/>
    <xf numFmtId="164" fontId="0" fillId="2" borderId="13" xfId="0" applyFill="1" applyBorder="1"/>
    <xf numFmtId="164" fontId="0" fillId="2" borderId="14" xfId="0" applyFill="1" applyBorder="1"/>
    <xf numFmtId="164" fontId="5" fillId="2" borderId="15" xfId="0" applyFont="1" applyFill="1" applyBorder="1"/>
    <xf numFmtId="164" fontId="5" fillId="2" borderId="15" xfId="0" applyFont="1" applyFill="1" applyBorder="1" applyAlignment="1">
      <alignment horizontal="center"/>
    </xf>
    <xf numFmtId="164" fontId="5" fillId="2" borderId="11" xfId="0" applyFont="1" applyFill="1" applyBorder="1" applyAlignment="1">
      <alignment horizontal="center"/>
    </xf>
    <xf numFmtId="168" fontId="0" fillId="4" borderId="4" xfId="0" applyNumberFormat="1" applyFill="1" applyBorder="1"/>
    <xf numFmtId="164" fontId="0" fillId="4" borderId="15" xfId="0" applyFill="1" applyBorder="1" applyAlignment="1">
      <alignment horizontal="right"/>
    </xf>
    <xf numFmtId="170" fontId="5" fillId="2" borderId="0" xfId="0" applyNumberFormat="1" applyFont="1" applyFill="1" applyBorder="1"/>
    <xf numFmtId="170" fontId="6" fillId="2" borderId="0" xfId="0" applyNumberFormat="1" applyFont="1" applyFill="1" applyBorder="1"/>
    <xf numFmtId="170" fontId="5" fillId="2" borderId="10" xfId="0" applyNumberFormat="1" applyFont="1" applyFill="1" applyBorder="1"/>
    <xf numFmtId="170" fontId="5" fillId="2" borderId="16" xfId="0" applyNumberFormat="1" applyFont="1" applyFill="1" applyBorder="1"/>
    <xf numFmtId="170" fontId="5" fillId="2" borderId="17" xfId="0" applyNumberFormat="1" applyFont="1" applyFill="1" applyBorder="1"/>
    <xf numFmtId="165" fontId="2" fillId="4" borderId="8" xfId="0" applyNumberFormat="1" applyFont="1" applyFill="1" applyBorder="1"/>
    <xf numFmtId="164" fontId="0" fillId="4" borderId="10" xfId="0" applyFill="1" applyBorder="1" applyAlignment="1"/>
    <xf numFmtId="10" fontId="0" fillId="4" borderId="21" xfId="0" applyNumberFormat="1" applyFill="1" applyBorder="1"/>
    <xf numFmtId="164" fontId="0" fillId="4" borderId="11" xfId="0" applyFill="1" applyBorder="1" applyAlignment="1">
      <alignment horizontal="right"/>
    </xf>
    <xf numFmtId="164" fontId="2" fillId="0" borderId="0" xfId="0" quotePrefix="1" applyFont="1" applyAlignment="1">
      <alignment horizontal="left"/>
    </xf>
    <xf numFmtId="167" fontId="0" fillId="0" borderId="0" xfId="0" applyNumberFormat="1"/>
    <xf numFmtId="173" fontId="0" fillId="0" borderId="0" xfId="0" applyNumberFormat="1"/>
    <xf numFmtId="164" fontId="2" fillId="0" borderId="0" xfId="0" applyFont="1" applyAlignment="1">
      <alignment horizontal="left"/>
    </xf>
    <xf numFmtId="10" fontId="0" fillId="0" borderId="0" xfId="0" applyNumberFormat="1" applyAlignment="1"/>
    <xf numFmtId="10" fontId="0" fillId="0" borderId="0" xfId="0" applyNumberFormat="1" applyAlignment="1">
      <alignment horizontal="right"/>
    </xf>
    <xf numFmtId="7" fontId="0" fillId="0" borderId="0" xfId="0" applyNumberFormat="1" applyAlignment="1" applyProtection="1"/>
    <xf numFmtId="175" fontId="0" fillId="0" borderId="0" xfId="0" applyNumberFormat="1" applyAlignment="1" applyProtection="1">
      <alignment horizontal="right"/>
    </xf>
    <xf numFmtId="5" fontId="0" fillId="0" borderId="0" xfId="0" applyNumberFormat="1" applyAlignment="1" applyProtection="1">
      <alignment horizontal="right"/>
    </xf>
    <xf numFmtId="10" fontId="0" fillId="0" borderId="0" xfId="0" applyNumberFormat="1" applyAlignment="1" applyProtection="1"/>
    <xf numFmtId="10" fontId="0" fillId="0" borderId="0" xfId="0" applyNumberFormat="1" applyAlignment="1" applyProtection="1">
      <alignment horizontal="right"/>
    </xf>
    <xf numFmtId="2" fontId="0" fillId="0" borderId="0" xfId="0" applyNumberFormat="1" applyAlignment="1" applyProtection="1"/>
    <xf numFmtId="7" fontId="0" fillId="0" borderId="0" xfId="0" applyNumberFormat="1" applyAlignment="1" applyProtection="1">
      <alignment horizontal="right"/>
    </xf>
    <xf numFmtId="174" fontId="0" fillId="0" borderId="0" xfId="0" applyNumberFormat="1"/>
    <xf numFmtId="165" fontId="0" fillId="0" borderId="0" xfId="0" applyNumberFormat="1"/>
    <xf numFmtId="2" fontId="0" fillId="0" borderId="0" xfId="0" applyNumberFormat="1" applyAlignment="1"/>
    <xf numFmtId="4" fontId="0" fillId="0" borderId="0" xfId="0" applyNumberFormat="1" applyAlignment="1"/>
    <xf numFmtId="168" fontId="0" fillId="0" borderId="0" xfId="0" applyNumberFormat="1"/>
    <xf numFmtId="2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0" applyNumberFormat="1" applyAlignment="1"/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0" fillId="0" borderId="0" xfId="0" applyNumberFormat="1" applyAlignment="1" applyProtection="1"/>
    <xf numFmtId="164" fontId="0" fillId="0" borderId="0" xfId="0" applyFont="1" applyAlignment="1">
      <alignment horizontal="left"/>
    </xf>
    <xf numFmtId="172" fontId="0" fillId="0" borderId="0" xfId="0" applyNumberFormat="1"/>
    <xf numFmtId="10" fontId="0" fillId="0" borderId="0" xfId="0" applyNumberFormat="1" applyFill="1"/>
    <xf numFmtId="164" fontId="0" fillId="0" borderId="0" xfId="0" applyFill="1" applyAlignment="1">
      <alignment horizontal="left"/>
    </xf>
    <xf numFmtId="164" fontId="0" fillId="0" borderId="0" xfId="0" applyFill="1" applyAlignment="1">
      <alignment horizontal="right"/>
    </xf>
    <xf numFmtId="164" fontId="0" fillId="0" borderId="0" xfId="0" applyAlignment="1">
      <alignment horizontal="left"/>
    </xf>
    <xf numFmtId="164" fontId="0" fillId="0" borderId="0" xfId="0" quotePrefix="1" applyAlignment="1">
      <alignment horizontal="right"/>
    </xf>
    <xf numFmtId="164" fontId="3" fillId="4" borderId="1" xfId="0" applyFont="1" applyFill="1" applyBorder="1" applyAlignment="1">
      <alignment horizontal="right"/>
    </xf>
    <xf numFmtId="164" fontId="0" fillId="4" borderId="3" xfId="0" applyFill="1" applyBorder="1" applyAlignment="1"/>
    <xf numFmtId="2" fontId="0" fillId="4" borderId="5" xfId="0" applyNumberFormat="1" applyFill="1" applyBorder="1" applyAlignment="1"/>
    <xf numFmtId="10" fontId="0" fillId="4" borderId="4" xfId="0" applyNumberFormat="1" applyFill="1" applyBorder="1" applyAlignment="1">
      <alignment horizontal="right"/>
    </xf>
    <xf numFmtId="4" fontId="0" fillId="4" borderId="5" xfId="0" applyNumberFormat="1" applyFill="1" applyBorder="1" applyAlignment="1"/>
    <xf numFmtId="165" fontId="0" fillId="4" borderId="5" xfId="0" applyNumberFormat="1" applyFill="1" applyBorder="1"/>
    <xf numFmtId="165" fontId="0" fillId="4" borderId="5" xfId="0" applyNumberFormat="1" applyFill="1" applyBorder="1" applyAlignment="1"/>
    <xf numFmtId="10" fontId="0" fillId="4" borderId="5" xfId="0" applyNumberFormat="1" applyFill="1" applyBorder="1" applyAlignment="1"/>
    <xf numFmtId="10" fontId="0" fillId="4" borderId="6" xfId="0" applyNumberFormat="1" applyFill="1" applyBorder="1" applyAlignment="1">
      <alignment horizontal="right"/>
    </xf>
    <xf numFmtId="10" fontId="0" fillId="4" borderId="7" xfId="0" applyNumberFormat="1" applyFill="1" applyBorder="1" applyAlignment="1"/>
    <xf numFmtId="164" fontId="3" fillId="3" borderId="1" xfId="0" applyFont="1" applyFill="1" applyBorder="1" applyAlignment="1">
      <alignment horizontal="right"/>
    </xf>
    <xf numFmtId="164" fontId="0" fillId="3" borderId="4" xfId="0" applyFill="1" applyBorder="1" applyAlignment="1">
      <alignment horizontal="right"/>
    </xf>
    <xf numFmtId="10" fontId="0" fillId="3" borderId="5" xfId="0" applyNumberFormat="1" applyFill="1" applyBorder="1" applyAlignment="1"/>
    <xf numFmtId="7" fontId="0" fillId="3" borderId="5" xfId="0" applyNumberFormat="1" applyFill="1" applyBorder="1" applyAlignment="1" applyProtection="1"/>
    <xf numFmtId="10" fontId="0" fillId="3" borderId="5" xfId="0" applyNumberFormat="1" applyFill="1" applyBorder="1" applyAlignment="1" applyProtection="1"/>
    <xf numFmtId="164" fontId="0" fillId="3" borderId="6" xfId="0" applyFill="1" applyBorder="1" applyAlignment="1">
      <alignment horizontal="right"/>
    </xf>
    <xf numFmtId="2" fontId="0" fillId="3" borderId="7" xfId="0" applyNumberFormat="1" applyFill="1" applyBorder="1" applyAlignment="1" applyProtection="1"/>
    <xf numFmtId="164" fontId="9" fillId="4" borderId="18" xfId="0" applyFont="1" applyFill="1" applyBorder="1" applyAlignment="1">
      <alignment horizontal="right"/>
    </xf>
    <xf numFmtId="165" fontId="9" fillId="4" borderId="19" xfId="0" applyNumberFormat="1" applyFont="1" applyFill="1" applyBorder="1" applyAlignment="1" applyProtection="1"/>
    <xf numFmtId="10" fontId="3" fillId="5" borderId="1" xfId="0" applyNumberFormat="1" applyFont="1" applyFill="1" applyBorder="1" applyAlignment="1">
      <alignment horizontal="left"/>
    </xf>
    <xf numFmtId="10" fontId="0" fillId="5" borderId="2" xfId="0" applyNumberFormat="1" applyFill="1" applyBorder="1" applyAlignment="1"/>
    <xf numFmtId="10" fontId="0" fillId="5" borderId="2" xfId="0" applyNumberFormat="1" applyFill="1" applyBorder="1" applyAlignment="1">
      <alignment horizontal="right"/>
    </xf>
    <xf numFmtId="164" fontId="0" fillId="5" borderId="2" xfId="0" applyFill="1" applyBorder="1"/>
    <xf numFmtId="173" fontId="0" fillId="5" borderId="2" xfId="0" applyNumberFormat="1" applyFill="1" applyBorder="1"/>
    <xf numFmtId="174" fontId="0" fillId="5" borderId="3" xfId="0" applyNumberFormat="1" applyFill="1" applyBorder="1"/>
    <xf numFmtId="164" fontId="0" fillId="5" borderId="4" xfId="0" applyFill="1" applyBorder="1" applyAlignment="1">
      <alignment horizontal="right"/>
    </xf>
    <xf numFmtId="165" fontId="0" fillId="5" borderId="0" xfId="0" applyNumberFormat="1" applyFill="1" applyBorder="1"/>
    <xf numFmtId="10" fontId="0" fillId="5" borderId="0" xfId="0" applyNumberFormat="1" applyFill="1" applyBorder="1" applyAlignment="1">
      <alignment horizontal="right"/>
    </xf>
    <xf numFmtId="164" fontId="0" fillId="5" borderId="0" xfId="0" applyFill="1" applyBorder="1"/>
    <xf numFmtId="173" fontId="0" fillId="5" borderId="0" xfId="0" applyNumberFormat="1" applyFill="1" applyBorder="1"/>
    <xf numFmtId="10" fontId="0" fillId="5" borderId="0" xfId="0" applyNumberFormat="1" applyFill="1" applyBorder="1" applyAlignment="1"/>
    <xf numFmtId="174" fontId="0" fillId="5" borderId="5" xfId="0" applyNumberFormat="1" applyFill="1" applyBorder="1"/>
    <xf numFmtId="165" fontId="0" fillId="5" borderId="0" xfId="0" quotePrefix="1" applyNumberFormat="1" applyFill="1" applyBorder="1"/>
    <xf numFmtId="10" fontId="0" fillId="5" borderId="0" xfId="0" applyNumberFormat="1" applyFill="1" applyBorder="1"/>
    <xf numFmtId="164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left"/>
    </xf>
    <xf numFmtId="2" fontId="0" fillId="5" borderId="0" xfId="0" applyNumberFormat="1" applyFill="1" applyBorder="1"/>
    <xf numFmtId="164" fontId="0" fillId="5" borderId="5" xfId="0" applyFill="1" applyBorder="1"/>
    <xf numFmtId="164" fontId="0" fillId="5" borderId="6" xfId="0" applyFill="1" applyBorder="1" applyAlignment="1">
      <alignment horizontal="right"/>
    </xf>
    <xf numFmtId="10" fontId="0" fillId="5" borderId="8" xfId="0" applyNumberFormat="1" applyFill="1" applyBorder="1"/>
    <xf numFmtId="164" fontId="0" fillId="5" borderId="8" xfId="0" applyFill="1" applyBorder="1"/>
    <xf numFmtId="173" fontId="0" fillId="5" borderId="8" xfId="0" applyNumberFormat="1" applyFill="1" applyBorder="1"/>
    <xf numFmtId="2" fontId="0" fillId="5" borderId="8" xfId="0" applyNumberFormat="1" applyFill="1" applyBorder="1"/>
    <xf numFmtId="164" fontId="0" fillId="5" borderId="7" xfId="0" applyFill="1" applyBorder="1"/>
    <xf numFmtId="164" fontId="0" fillId="5" borderId="8" xfId="0" applyFill="1" applyBorder="1" applyAlignment="1">
      <alignment horizontal="center"/>
    </xf>
    <xf numFmtId="10" fontId="0" fillId="5" borderId="8" xfId="0" applyNumberFormat="1" applyFill="1" applyBorder="1" applyAlignment="1">
      <alignment horizontal="left"/>
    </xf>
    <xf numFmtId="164" fontId="0" fillId="0" borderId="0" xfId="0" quotePrefix="1" applyAlignment="1">
      <alignment horizontal="left"/>
    </xf>
    <xf numFmtId="7" fontId="0" fillId="0" borderId="0" xfId="0" applyNumberFormat="1" applyProtection="1"/>
    <xf numFmtId="164" fontId="12" fillId="4" borderId="4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173" fontId="0" fillId="0" borderId="0" xfId="0" applyNumberFormat="1" applyFill="1" applyBorder="1"/>
    <xf numFmtId="174" fontId="0" fillId="0" borderId="0" xfId="0" applyNumberFormat="1" applyFill="1" applyBorder="1"/>
    <xf numFmtId="4" fontId="0" fillId="0" borderId="0" xfId="0" applyNumberFormat="1" applyFill="1" applyBorder="1"/>
    <xf numFmtId="10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/>
    <xf numFmtId="165" fontId="0" fillId="0" borderId="0" xfId="0" applyNumberForma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10" fontId="0" fillId="0" borderId="0" xfId="0" applyNumberFormat="1" applyFill="1" applyBorder="1" applyAlignment="1"/>
    <xf numFmtId="165" fontId="0" fillId="0" borderId="0" xfId="0" applyNumberFormat="1" applyFill="1" applyBorder="1" applyAlignment="1" applyProtection="1"/>
    <xf numFmtId="10" fontId="3" fillId="0" borderId="0" xfId="0" applyNumberFormat="1" applyFont="1" applyFill="1" applyBorder="1" applyAlignment="1">
      <alignment horizontal="left"/>
    </xf>
    <xf numFmtId="165" fontId="0" fillId="0" borderId="0" xfId="0" quotePrefix="1" applyNumberFormat="1" applyFill="1" applyBorder="1"/>
    <xf numFmtId="164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left"/>
    </xf>
    <xf numFmtId="164" fontId="0" fillId="0" borderId="0" xfId="0" applyFont="1" applyFill="1" applyBorder="1" applyAlignment="1">
      <alignment horizontal="left"/>
    </xf>
    <xf numFmtId="172" fontId="0" fillId="0" borderId="0" xfId="0" applyNumberFormat="1" applyFill="1" applyBorder="1"/>
    <xf numFmtId="164" fontId="9" fillId="4" borderId="22" xfId="0" applyFont="1" applyFill="1" applyBorder="1" applyAlignment="1">
      <alignment horizontal="right"/>
    </xf>
    <xf numFmtId="165" fontId="9" fillId="4" borderId="23" xfId="0" applyNumberFormat="1" applyFont="1" applyFill="1" applyBorder="1" applyAlignment="1" applyProtection="1"/>
    <xf numFmtId="169" fontId="0" fillId="4" borderId="5" xfId="0" applyNumberFormat="1" applyFill="1" applyBorder="1" applyAlignment="1"/>
    <xf numFmtId="10" fontId="4" fillId="0" borderId="0" xfId="0" applyNumberFormat="1" applyFont="1" applyAlignment="1">
      <alignment horizontal="left"/>
    </xf>
    <xf numFmtId="176" fontId="0" fillId="2" borderId="0" xfId="0" applyNumberFormat="1" applyFill="1" applyAlignment="1">
      <alignment horizontal="left"/>
    </xf>
    <xf numFmtId="10" fontId="0" fillId="2" borderId="0" xfId="0" applyNumberFormat="1" applyFill="1"/>
    <xf numFmtId="176" fontId="5" fillId="4" borderId="10" xfId="0" applyNumberFormat="1" applyFont="1" applyFill="1" applyBorder="1"/>
    <xf numFmtId="166" fontId="5" fillId="4" borderId="0" xfId="0" applyNumberFormat="1" applyFont="1" applyFill="1" applyBorder="1" applyAlignment="1">
      <alignment horizontal="center"/>
    </xf>
    <xf numFmtId="168" fontId="0" fillId="4" borderId="5" xfId="0" applyNumberFormat="1" applyFill="1" applyBorder="1" applyAlignment="1"/>
    <xf numFmtId="164" fontId="3" fillId="2" borderId="1" xfId="0" applyFont="1" applyFill="1" applyBorder="1" applyAlignment="1">
      <alignment horizontal="left"/>
    </xf>
    <xf numFmtId="164" fontId="0" fillId="2" borderId="2" xfId="0" applyFill="1" applyBorder="1"/>
    <xf numFmtId="164" fontId="0" fillId="2" borderId="3" xfId="0" applyFill="1" applyBorder="1"/>
    <xf numFmtId="164" fontId="0" fillId="2" borderId="4" xfId="0" applyFill="1" applyBorder="1" applyAlignment="1">
      <alignment horizontal="left"/>
    </xf>
    <xf numFmtId="10" fontId="0" fillId="2" borderId="0" xfId="0" applyNumberFormat="1" applyFill="1" applyBorder="1" applyAlignment="1"/>
    <xf numFmtId="10" fontId="0" fillId="2" borderId="5" xfId="0" applyNumberFormat="1" applyFill="1" applyBorder="1" applyAlignment="1"/>
    <xf numFmtId="7" fontId="0" fillId="2" borderId="0" xfId="0" applyNumberFormat="1" applyFill="1" applyBorder="1" applyAlignment="1" applyProtection="1"/>
    <xf numFmtId="7" fontId="0" fillId="2" borderId="5" xfId="0" applyNumberFormat="1" applyFill="1" applyBorder="1" applyAlignment="1" applyProtection="1"/>
    <xf numFmtId="10" fontId="0" fillId="2" borderId="0" xfId="0" applyNumberFormat="1" applyFill="1" applyBorder="1" applyAlignment="1" applyProtection="1"/>
    <xf numFmtId="10" fontId="0" fillId="2" borderId="5" xfId="0" applyNumberFormat="1" applyFill="1" applyBorder="1" applyAlignment="1" applyProtection="1"/>
    <xf numFmtId="164" fontId="0" fillId="2" borderId="6" xfId="0" applyFill="1" applyBorder="1" applyAlignment="1">
      <alignment horizontal="left"/>
    </xf>
    <xf numFmtId="2" fontId="0" fillId="2" borderId="8" xfId="0" applyNumberFormat="1" applyFill="1" applyBorder="1" applyAlignment="1" applyProtection="1"/>
    <xf numFmtId="2" fontId="0" fillId="2" borderId="7" xfId="0" applyNumberFormat="1" applyFill="1" applyBorder="1" applyAlignment="1" applyProtection="1"/>
    <xf numFmtId="164" fontId="3" fillId="4" borderId="1" xfId="0" applyFont="1" applyFill="1" applyBorder="1" applyAlignment="1">
      <alignment horizontal="left"/>
    </xf>
    <xf numFmtId="164" fontId="0" fillId="4" borderId="2" xfId="0" applyFill="1" applyBorder="1" applyAlignment="1"/>
    <xf numFmtId="164" fontId="0" fillId="4" borderId="4" xfId="0" applyFill="1" applyBorder="1" applyAlignment="1">
      <alignment horizontal="left"/>
    </xf>
    <xf numFmtId="2" fontId="0" fillId="4" borderId="0" xfId="0" applyNumberFormat="1" applyFill="1" applyBorder="1" applyAlignment="1"/>
    <xf numFmtId="10" fontId="0" fillId="4" borderId="4" xfId="0" applyNumberFormat="1" applyFill="1" applyBorder="1" applyAlignment="1">
      <alignment horizontal="left"/>
    </xf>
    <xf numFmtId="4" fontId="0" fillId="4" borderId="0" xfId="0" applyNumberFormat="1" applyFill="1" applyBorder="1" applyAlignment="1"/>
    <xf numFmtId="165" fontId="0" fillId="4" borderId="0" xfId="0" applyNumberFormat="1" applyFill="1" applyBorder="1"/>
    <xf numFmtId="10" fontId="0" fillId="4" borderId="6" xfId="0" applyNumberFormat="1" applyFill="1" applyBorder="1" applyAlignment="1">
      <alignment horizontal="left"/>
    </xf>
    <xf numFmtId="165" fontId="0" fillId="4" borderId="8" xfId="0" applyNumberFormat="1" applyFill="1" applyBorder="1" applyAlignment="1"/>
    <xf numFmtId="165" fontId="0" fillId="4" borderId="7" xfId="0" applyNumberFormat="1" applyFill="1" applyBorder="1" applyAlignment="1"/>
    <xf numFmtId="164" fontId="13" fillId="0" borderId="0" xfId="0" applyFont="1"/>
    <xf numFmtId="10" fontId="13" fillId="4" borderId="18" xfId="0" applyNumberFormat="1" applyFont="1" applyFill="1" applyBorder="1" applyAlignment="1">
      <alignment horizontal="right"/>
    </xf>
    <xf numFmtId="2" fontId="13" fillId="4" borderId="19" xfId="0" applyNumberFormat="1" applyFont="1" applyFill="1" applyBorder="1" applyAlignment="1"/>
    <xf numFmtId="10" fontId="13" fillId="0" borderId="0" xfId="0" applyNumberFormat="1" applyFont="1" applyAlignment="1">
      <alignment horizontal="left"/>
    </xf>
    <xf numFmtId="10" fontId="13" fillId="3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Sect.27.3!#REF!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E-430A-A368-5DAE32BEF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14368"/>
        <c:axId val="89515904"/>
      </c:barChart>
      <c:catAx>
        <c:axId val="8951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1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4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'Exhs.27-4&amp;5'!#REF!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D-4647-8E86-8A2FF2592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62016"/>
        <c:axId val="90663552"/>
      </c:barChart>
      <c:catAx>
        <c:axId val="906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 Year Value Probabilities for Office Building</a:t>
            </a:r>
          </a:p>
        </c:rich>
      </c:tx>
      <c:layout>
        <c:manualLayout>
          <c:xMode val="edge"/>
          <c:yMode val="edge"/>
          <c:x val="0.22332950207429247"/>
          <c:y val="3.0536111536328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2096101985774"/>
          <c:y val="0.13435889075984422"/>
          <c:w val="0.84604388012085974"/>
          <c:h val="0.6901161207210175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'Exhs.27-4&amp;5'!$W$35:$W$47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'Exhs.27-4&amp;5'!$X$35:$X$47</c:f>
              <c:numCache>
                <c:formatCode>0%</c:formatCode>
                <c:ptCount val="13"/>
                <c:pt idx="0">
                  <c:v>6.4070252045764795E-5</c:v>
                </c:pt>
                <c:pt idx="1">
                  <c:v>9.5018507501848002E-4</c:v>
                </c:pt>
                <c:pt idx="2">
                  <c:v>6.4586450859003544E-3</c:v>
                </c:pt>
                <c:pt idx="3">
                  <c:v>2.6606680295423686E-2</c:v>
                </c:pt>
                <c:pt idx="4">
                  <c:v>7.3985009731315207E-2</c:v>
                </c:pt>
                <c:pt idx="5">
                  <c:v>0.14629660365433131</c:v>
                </c:pt>
                <c:pt idx="6">
                  <c:v>0.21093641444737624</c:v>
                </c:pt>
                <c:pt idx="7">
                  <c:v>0.2234473949477532</c:v>
                </c:pt>
                <c:pt idx="8">
                  <c:v>0.17259405768785643</c:v>
                </c:pt>
                <c:pt idx="9">
                  <c:v>9.4801202681878985E-2</c:v>
                </c:pt>
                <c:pt idx="10">
                  <c:v>3.5148405463498469E-2</c:v>
                </c:pt>
                <c:pt idx="11">
                  <c:v>7.897933344644668E-3</c:v>
                </c:pt>
                <c:pt idx="12">
                  <c:v>8.133973329571537E-4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B-468E-A066-4BDE590F7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7104"/>
        <c:axId val="97017856"/>
      </c:barChart>
      <c:catAx>
        <c:axId val="970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Newly Completed Office Building Market Values in 1 Year (Value today is $100)</a:t>
                </a:r>
              </a:p>
            </c:rich>
          </c:tx>
          <c:layout>
            <c:manualLayout>
              <c:xMode val="edge"/>
              <c:yMode val="edge"/>
              <c:x val="0.16790466214344621"/>
              <c:y val="0.88758297532260677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1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Probability</a:t>
                </a:r>
              </a:p>
            </c:rich>
          </c:tx>
          <c:layout>
            <c:manualLayout>
              <c:xMode val="edge"/>
              <c:yMode val="edge"/>
              <c:x val="2.6082277614515936E-2"/>
              <c:y val="0.4051124130486213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7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'Exhs.CD27-1-8'!#REF!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3-4339-854A-4B8536473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81696"/>
        <c:axId val="97183232"/>
      </c:barChart>
      <c:catAx>
        <c:axId val="971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8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8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 Year (Period 12) 
Value Probabilities for Underlying Asset (new office building)</a:t>
            </a:r>
          </a:p>
        </c:rich>
      </c:tx>
      <c:layout>
        <c:manualLayout>
          <c:xMode val="edge"/>
          <c:yMode val="edge"/>
          <c:x val="0.12063053396713613"/>
          <c:y val="3.1971620429187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1811400171289E-2"/>
          <c:y val="0.16214178931945081"/>
          <c:w val="0.87538644243719044"/>
          <c:h val="0.726212521177258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'Exhs.CD27-1-8'!$X$1:$X$13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'Exhs.CD27-1-8'!$Y$1:$Y$13</c:f>
              <c:numCache>
                <c:formatCode>0%</c:formatCode>
                <c:ptCount val="13"/>
                <c:pt idx="0">
                  <c:v>6.4070252045764795E-5</c:v>
                </c:pt>
                <c:pt idx="1">
                  <c:v>9.5018507501848002E-4</c:v>
                </c:pt>
                <c:pt idx="2">
                  <c:v>6.4586450859003544E-3</c:v>
                </c:pt>
                <c:pt idx="3">
                  <c:v>2.6606680295423686E-2</c:v>
                </c:pt>
                <c:pt idx="4">
                  <c:v>7.3985009731315207E-2</c:v>
                </c:pt>
                <c:pt idx="5">
                  <c:v>0.14629660365433131</c:v>
                </c:pt>
                <c:pt idx="6">
                  <c:v>0.21093641444737624</c:v>
                </c:pt>
                <c:pt idx="7">
                  <c:v>0.2234473949477532</c:v>
                </c:pt>
                <c:pt idx="8">
                  <c:v>0.17259405768785643</c:v>
                </c:pt>
                <c:pt idx="9">
                  <c:v>9.4801202681878985E-2</c:v>
                </c:pt>
                <c:pt idx="10">
                  <c:v>3.5148405463498469E-2</c:v>
                </c:pt>
                <c:pt idx="11">
                  <c:v>7.897933344644668E-3</c:v>
                </c:pt>
                <c:pt idx="12">
                  <c:v>8.133973329571537E-4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9-44C6-B588-93796701E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77504"/>
        <c:axId val="89479040"/>
      </c:barChart>
      <c:catAx>
        <c:axId val="89477504"/>
        <c:scaling>
          <c:orientation val="minMax"/>
        </c:scaling>
        <c:delete val="0"/>
        <c:axPos val="b"/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790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75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'Risk-Neutr'!#REF!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AC0-9EFC-33BC3B857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91040"/>
        <c:axId val="97192576"/>
      </c:barChart>
      <c:catAx>
        <c:axId val="9719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9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Period 12 
Value Probabilities</a:t>
            </a:r>
          </a:p>
        </c:rich>
      </c:tx>
      <c:layout>
        <c:manualLayout>
          <c:xMode val="edge"/>
          <c:yMode val="edge"/>
          <c:x val="0.37982316776138803"/>
          <c:y val="3.2052992372806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27686948991227E-2"/>
          <c:y val="0.13050146894642786"/>
          <c:w val="0.88679743889354112"/>
          <c:h val="0.764692818036963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'Risk-Neutr'!$W$20:$W$32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'Risk-Neutr'!$X$20:$X$32</c:f>
              <c:numCache>
                <c:formatCode>0%</c:formatCode>
                <c:ptCount val="13"/>
                <c:pt idx="0">
                  <c:v>2.9697273375145857E-4</c:v>
                </c:pt>
                <c:pt idx="1">
                  <c:v>3.4482658533054708E-3</c:v>
                </c:pt>
                <c:pt idx="2">
                  <c:v>1.835127949480132E-2</c:v>
                </c:pt>
                <c:pt idx="3">
                  <c:v>5.9189955521255617E-2</c:v>
                </c:pt>
                <c:pt idx="4">
                  <c:v>0.12886454669444017</c:v>
                </c:pt>
                <c:pt idx="5">
                  <c:v>0.19950617932936479</c:v>
                </c:pt>
                <c:pt idx="6">
                  <c:v>0.22521953629571748</c:v>
                </c:pt>
                <c:pt idx="7">
                  <c:v>0.18679368465326093</c:v>
                </c:pt>
                <c:pt idx="8">
                  <c:v>0.11296531690143939</c:v>
                </c:pt>
                <c:pt idx="9">
                  <c:v>4.8580896568982505E-2</c:v>
                </c:pt>
                <c:pt idx="10">
                  <c:v>1.4102291870841199E-2</c:v>
                </c:pt>
                <c:pt idx="11">
                  <c:v>2.4810180738306232E-3</c:v>
                </c:pt>
                <c:pt idx="12">
                  <c:v>2.000560090088908E-4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A-4A13-BFB3-24AB1E948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2384"/>
        <c:axId val="97233920"/>
      </c:barChart>
      <c:catAx>
        <c:axId val="97232384"/>
        <c:scaling>
          <c:orientation val="minMax"/>
        </c:scaling>
        <c:delete val="0"/>
        <c:axPos val="b"/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2339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323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Land Value as a Function of Current Built Property Value: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 = $88.24,  yV = 6%, yK = 1%</a:t>
            </a:r>
          </a:p>
        </c:rich>
      </c:tx>
      <c:layout>
        <c:manualLayout>
          <c:xMode val="edge"/>
          <c:yMode val="edge"/>
          <c:x val="0.18899871972430346"/>
          <c:y val="2.9038112522686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19330372423183"/>
          <c:y val="0.17967332123411972"/>
          <c:w val="0.82228547462140977"/>
          <c:h val="0.66424682395644308"/>
        </c:manualLayout>
      </c:layout>
      <c:lineChart>
        <c:grouping val="standard"/>
        <c:varyColors val="0"/>
        <c:ser>
          <c:idx val="0"/>
          <c:order val="0"/>
          <c:tx>
            <c:v>Volatility = 15%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'Exhs.27-6&amp;7'!$B$20:$B$185</c:f>
              <c:numCache>
                <c:formatCode>"$"#,##0.00</c:formatCode>
                <c:ptCount val="166"/>
                <c:pt idx="0">
                  <c:v>0</c:v>
                </c:pt>
                <c:pt idx="1">
                  <c:v>7.9911297375225273E-11</c:v>
                </c:pt>
                <c:pt idx="2">
                  <c:v>3.8842348563521729E-9</c:v>
                </c:pt>
                <c:pt idx="3">
                  <c:v>3.7666923632983745E-8</c:v>
                </c:pt>
                <c:pt idx="4">
                  <c:v>1.8880034381695216E-7</c:v>
                </c:pt>
                <c:pt idx="5">
                  <c:v>6.5917090390434128E-7</c:v>
                </c:pt>
                <c:pt idx="6">
                  <c:v>1.8308697582496036E-6</c:v>
                </c:pt>
                <c:pt idx="7">
                  <c:v>4.3427631870028373E-6</c:v>
                </c:pt>
                <c:pt idx="8">
                  <c:v>9.1769862388999156E-6</c:v>
                </c:pt>
                <c:pt idx="9">
                  <c:v>1.775465025065268E-5</c:v>
                </c:pt>
                <c:pt idx="10">
                  <c:v>3.2040208147492777E-5</c:v>
                </c:pt>
                <c:pt idx="11">
                  <c:v>5.4654024984380039E-5</c:v>
                </c:pt>
                <c:pt idx="12">
                  <c:v>8.899277531488287E-5</c:v>
                </c:pt>
                <c:pt idx="13">
                  <c:v>1.3935734433787608E-4</c:v>
                </c:pt>
                <c:pt idx="14">
                  <c:v>2.1108795249104724E-4</c:v>
                </c:pt>
                <c:pt idx="15">
                  <c:v>3.107062569872293E-4</c:v>
                </c:pt>
                <c:pt idx="16">
                  <c:v>4.4606421114682667E-4</c:v>
                </c:pt>
                <c:pt idx="17">
                  <c:v>6.2649948489611001E-4</c:v>
                </c:pt>
                <c:pt idx="18">
                  <c:v>8.6299726861032832E-4</c:v>
                </c:pt>
                <c:pt idx="19">
                  <c:v>1.1683582983937708E-3</c:v>
                </c:pt>
                <c:pt idx="20">
                  <c:v>1.5573729545010995E-3</c:v>
                </c:pt>
                <c:pt idx="21">
                  <c:v>2.0470012963609181E-3</c:v>
                </c:pt>
                <c:pt idx="22">
                  <c:v>2.6565589079033947E-3</c:v>
                </c:pt>
                <c:pt idx="23">
                  <c:v>3.4079084358820825E-3</c:v>
                </c:pt>
                <c:pt idx="24">
                  <c:v>4.3256567118224792E-3</c:v>
                </c:pt>
                <c:pt idx="25">
                  <c:v>5.4373573552914762E-3</c:v>
                </c:pt>
                <c:pt idx="26">
                  <c:v>6.7737187624946193E-3</c:v>
                </c:pt>
                <c:pt idx="27">
                  <c:v>8.3688173898801566E-3</c:v>
                </c:pt>
                <c:pt idx="28">
                  <c:v>1.0260316247548936E-2</c:v>
                </c:pt>
                <c:pt idx="29">
                  <c:v>1.2489688521909882E-2</c:v>
                </c:pt>
                <c:pt idx="30">
                  <c:v>1.510244625124397E-2</c:v>
                </c:pt>
                <c:pt idx="31">
                  <c:v>1.8148373981696529E-2</c:v>
                </c:pt>
                <c:pt idx="32">
                  <c:v>2.1681767334751086E-2</c:v>
                </c:pt>
                <c:pt idx="33">
                  <c:v>2.5761676420486535E-2</c:v>
                </c:pt>
                <c:pt idx="34">
                  <c:v>3.045215403391258E-2</c:v>
                </c:pt>
                <c:pt idx="35">
                  <c:v>3.5822508574446583E-2</c:v>
                </c:pt>
                <c:pt idx="36">
                  <c:v>4.1947561631156816E-2</c:v>
                </c:pt>
                <c:pt idx="37">
                  <c:v>4.8907910178780954E-2</c:v>
                </c:pt>
                <c:pt idx="38">
                  <c:v>5.6790193331742435E-2</c:v>
                </c:pt>
                <c:pt idx="39">
                  <c:v>6.5687363605456447E-2</c:v>
                </c:pt>
                <c:pt idx="40">
                  <c:v>7.5698962636148739E-2</c:v>
                </c:pt>
                <c:pt idx="41">
                  <c:v>8.6931401312219478E-2</c:v>
                </c:pt>
                <c:pt idx="42">
                  <c:v>9.949824427188203E-2</c:v>
                </c:pt>
                <c:pt idx="43">
                  <c:v>0.11352049872339964</c:v>
                </c:pt>
                <c:pt idx="44">
                  <c:v>0.12912690754574496</c:v>
                </c:pt>
                <c:pt idx="45">
                  <c:v>0.14645424662891948</c:v>
                </c:pt>
                <c:pt idx="46">
                  <c:v>0.16564762641450614</c:v>
                </c:pt>
                <c:pt idx="47">
                  <c:v>0.18686079759828908</c:v>
                </c:pt>
                <c:pt idx="48">
                  <c:v>0.21025646095796788</c:v>
                </c:pt>
                <c:pt idx="49">
                  <c:v>0.23600658127012283</c:v>
                </c:pt>
                <c:pt idx="50">
                  <c:v>0.26429270528166693</c:v>
                </c:pt>
                <c:pt idx="51">
                  <c:v>0.29530628370202811</c:v>
                </c:pt>
                <c:pt idx="52">
                  <c:v>0.32924899718328665</c:v>
                </c:pt>
                <c:pt idx="53">
                  <c:v>0.36633308625640576</c:v>
                </c:pt>
                <c:pt idx="54">
                  <c:v>0.40678168519257046</c:v>
                </c:pt>
                <c:pt idx="55">
                  <c:v>0.45082915975949894</c:v>
                </c:pt>
                <c:pt idx="56">
                  <c:v>0.49872144884337505</c:v>
                </c:pt>
                <c:pt idx="57">
                  <c:v>0.55071640990782844</c:v>
                </c:pt>
                <c:pt idx="58">
                  <c:v>0.60708416826210121</c:v>
                </c:pt>
                <c:pt idx="59">
                  <c:v>0.66810747011126248</c:v>
                </c:pt>
                <c:pt idx="60">
                  <c:v>0.73408203936198158</c:v>
                </c:pt>
                <c:pt idx="61">
                  <c:v>0.80531693815801819</c:v>
                </c:pt>
                <c:pt idx="62">
                  <c:v>0.88213493112020547</c:v>
                </c:pt>
                <c:pt idx="63">
                  <c:v>0.96487285326629757</c:v>
                </c:pt>
                <c:pt idx="64">
                  <c:v>1.0538819815865974</c:v>
                </c:pt>
                <c:pt idx="65">
                  <c:v>1.1495284102518568</c:v>
                </c:pt>
                <c:pt idx="66">
                  <c:v>1.2521934294304489</c:v>
                </c:pt>
                <c:pt idx="67">
                  <c:v>1.3622739076923098</c:v>
                </c:pt>
                <c:pt idx="68">
                  <c:v>1.480182677977645</c:v>
                </c:pt>
                <c:pt idx="69">
                  <c:v>1.6063489271088733</c:v>
                </c:pt>
                <c:pt idx="70">
                  <c:v>1.7412185888246936</c:v>
                </c:pt>
                <c:pt idx="71">
                  <c:v>1.8852547403156417</c:v>
                </c:pt>
                <c:pt idx="72">
                  <c:v>2.0389380022409038</c:v>
                </c:pt>
                <c:pt idx="73">
                  <c:v>2.2027669422065386</c:v>
                </c:pt>
                <c:pt idx="74">
                  <c:v>2.3772584816856996</c:v>
                </c:pt>
                <c:pt idx="75">
                  <c:v>2.5629483063617799</c:v>
                </c:pt>
                <c:pt idx="76">
                  <c:v>2.7603912798757917</c:v>
                </c:pt>
                <c:pt idx="77">
                  <c:v>2.970161860959653</c:v>
                </c:pt>
                <c:pt idx="78">
                  <c:v>3.1928545239373833</c:v>
                </c:pt>
                <c:pt idx="79">
                  <c:v>3.4290841825765424</c:v>
                </c:pt>
                <c:pt idx="80">
                  <c:v>3.6794866172725693</c:v>
                </c:pt>
                <c:pt idx="81">
                  <c:v>3.9447189055490299</c:v>
                </c:pt>
                <c:pt idx="82">
                  <c:v>4.2254598558569647</c:v>
                </c:pt>
                <c:pt idx="83">
                  <c:v>4.5224104446570124</c:v>
                </c:pt>
                <c:pt idx="84">
                  <c:v>4.8362942567680731</c:v>
                </c:pt>
                <c:pt idx="85">
                  <c:v>5.1678579289666882</c:v>
                </c:pt>
                <c:pt idx="86">
                  <c:v>5.5178715968214975</c:v>
                </c:pt>
                <c:pt idx="87">
                  <c:v>5.8871293447474953</c:v>
                </c:pt>
                <c:pt idx="88">
                  <c:v>6.2764496592648884</c:v>
                </c:pt>
                <c:pt idx="89">
                  <c:v>6.686675885447829</c:v>
                </c:pt>
                <c:pt idx="90">
                  <c:v>7.118676686548338</c:v>
                </c:pt>
                <c:pt idx="91">
                  <c:v>7.5733465067810775</c:v>
                </c:pt>
                <c:pt idx="92">
                  <c:v>8.0516060372548104</c:v>
                </c:pt>
                <c:pt idx="93">
                  <c:v>8.5544026850366741</c:v>
                </c:pt>
                <c:pt idx="94">
                  <c:v>9.0827110453354489</c:v>
                </c:pt>
                <c:pt idx="95">
                  <c:v>9.6375333767904383</c:v>
                </c:pt>
                <c:pt idx="96">
                  <c:v>10.219900079852604</c:v>
                </c:pt>
                <c:pt idx="97">
                  <c:v>10.830870178244838</c:v>
                </c:pt>
                <c:pt idx="98">
                  <c:v>11.471531803488508</c:v>
                </c:pt>
                <c:pt idx="99">
                  <c:v>12.143002682483564</c:v>
                </c:pt>
                <c:pt idx="100">
                  <c:v>12.846430628129568</c:v>
                </c:pt>
                <c:pt idx="101">
                  <c:v>13.582994032975453</c:v>
                </c:pt>
                <c:pt idx="102">
                  <c:v>14.353902365885707</c:v>
                </c:pt>
                <c:pt idx="103">
                  <c:v>15.160396671711005</c:v>
                </c:pt>
                <c:pt idx="104">
                  <c:v>16.003750073951508</c:v>
                </c:pt>
                <c:pt idx="105">
                  <c:v>16.885268280400997</c:v>
                </c:pt>
                <c:pt idx="106">
                  <c:v>17.806290091760495</c:v>
                </c:pt>
                <c:pt idx="107">
                  <c:v>18.768187913209935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F-47F6-883F-2749B3DF0F50}"/>
            </c:ext>
          </c:extLst>
        </c:ser>
        <c:ser>
          <c:idx val="1"/>
          <c:order val="1"/>
          <c:tx>
            <c:v>Volatility = 20%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'Exhs.27-6&amp;7'!$C$20:$C$185</c:f>
              <c:numCache>
                <c:formatCode>"$"#,##0.00</c:formatCode>
                <c:ptCount val="166"/>
                <c:pt idx="0">
                  <c:v>0</c:v>
                </c:pt>
                <c:pt idx="1">
                  <c:v>8.6981894171968251E-7</c:v>
                </c:pt>
                <c:pt idx="2">
                  <c:v>1.0824628744145451E-5</c:v>
                </c:pt>
                <c:pt idx="3">
                  <c:v>4.7308336399960705E-5</c:v>
                </c:pt>
                <c:pt idx="4">
                  <c:v>1.3470916972321058E-4</c:v>
                </c:pt>
                <c:pt idx="5">
                  <c:v>3.0332158762663979E-4</c:v>
                </c:pt>
                <c:pt idx="6">
                  <c:v>5.887376711069043E-4</c:v>
                </c:pt>
                <c:pt idx="7">
                  <c:v>1.0314258266744469E-3</c:v>
                </c:pt>
                <c:pt idx="8">
                  <c:v>1.6764141141867247E-3</c:v>
                </c:pt>
                <c:pt idx="9">
                  <c:v>2.5730397276783183E-3</c:v>
                </c:pt>
                <c:pt idx="10">
                  <c:v>3.7747437066061092E-3</c:v>
                </c:pt>
                <c:pt idx="11">
                  <c:v>5.3388983070364908E-3</c:v>
                </c:pt>
                <c:pt idx="12">
                  <c:v>7.3266589306799088E-3</c:v>
                </c:pt>
                <c:pt idx="13">
                  <c:v>9.8028351076749152E-3</c:v>
                </c:pt>
                <c:pt idx="14">
                  <c:v>1.2835776637377831E-2</c:v>
                </c:pt>
                <c:pt idx="15">
                  <c:v>1.6497272037375027E-2</c:v>
                </c:pt>
                <c:pt idx="16">
                  <c:v>2.0862457158773679E-2</c:v>
                </c:pt>
                <c:pt idx="17">
                  <c:v>2.6009732320862657E-2</c:v>
                </c:pt>
                <c:pt idx="18">
                  <c:v>3.2020686674159499E-2</c:v>
                </c:pt>
                <c:pt idx="19">
                  <c:v>3.8980028762880217E-2</c:v>
                </c:pt>
                <c:pt idx="20">
                  <c:v>4.6975522454739509E-2</c:v>
                </c:pt>
                <c:pt idx="21">
                  <c:v>5.6097927556569137E-2</c:v>
                </c:pt>
                <c:pt idx="22">
                  <c:v>6.6440944551241193E-2</c:v>
                </c:pt>
                <c:pt idx="23">
                  <c:v>7.8101162983565425E-2</c:v>
                </c:pt>
                <c:pt idx="24">
                  <c:v>9.1178013096369845E-2</c:v>
                </c:pt>
                <c:pt idx="25">
                  <c:v>0.10577372037730999</c:v>
                </c:pt>
                <c:pt idx="26">
                  <c:v>0.1219932627253052</c:v>
                </c:pt>
                <c:pt idx="27">
                  <c:v>0.13994432998528369</c:v>
                </c:pt>
                <c:pt idx="28">
                  <c:v>0.15973728563290818</c:v>
                </c:pt>
                <c:pt idx="29">
                  <c:v>0.18148513041854569</c:v>
                </c:pt>
                <c:pt idx="30">
                  <c:v>0.20530346780296627</c:v>
                </c:pt>
                <c:pt idx="31">
                  <c:v>0.23131047103693309</c:v>
                </c:pt>
                <c:pt idx="32">
                  <c:v>0.25962685175364114</c:v>
                </c:pt>
                <c:pt idx="33">
                  <c:v>0.29037582995733507</c:v>
                </c:pt>
                <c:pt idx="34">
                  <c:v>0.3236831053038543</c:v>
                </c:pt>
                <c:pt idx="35">
                  <c:v>0.35967682957959346</c:v>
                </c:pt>
                <c:pt idx="36">
                  <c:v>0.39848758029471049</c:v>
                </c:pt>
                <c:pt idx="37">
                  <c:v>0.44024833531460433</c:v>
                </c:pt>
                <c:pt idx="38">
                  <c:v>0.48509444846082794</c:v>
                </c:pt>
                <c:pt idx="39">
                  <c:v>0.5331636260189494</c:v>
                </c:pt>
                <c:pt idx="40">
                  <c:v>0.58459590409643691</c:v>
                </c:pt>
                <c:pt idx="41">
                  <c:v>0.63953362677860393</c:v>
                </c:pt>
                <c:pt idx="42">
                  <c:v>0.69812142503505503</c:v>
                </c:pt>
                <c:pt idx="43">
                  <c:v>0.76050619633302829</c:v>
                </c:pt>
                <c:pt idx="44">
                  <c:v>0.82683708491751584</c:v>
                </c:pt>
                <c:pt idx="45">
                  <c:v>0.89726546272123409</c:v>
                </c:pt>
                <c:pt idx="46">
                  <c:v>0.97194491087036505</c:v>
                </c:pt>
                <c:pt idx="47">
                  <c:v>1.0510312017545267</c:v>
                </c:pt>
                <c:pt idx="48">
                  <c:v>1.1346822816317883</c:v>
                </c:pt>
                <c:pt idx="49">
                  <c:v>1.2230582537416272</c:v>
                </c:pt>
                <c:pt idx="50">
                  <c:v>1.3163213619006486</c:v>
                </c:pt>
                <c:pt idx="51">
                  <c:v>1.4146359745576242</c:v>
                </c:pt>
                <c:pt idx="52">
                  <c:v>1.5181685692859943</c:v>
                </c:pt>
                <c:pt idx="53">
                  <c:v>1.6270877176934355</c:v>
                </c:pt>
                <c:pt idx="54">
                  <c:v>1.7415640707294127</c:v>
                </c:pt>
                <c:pt idx="55">
                  <c:v>1.8617703443728579</c:v>
                </c:pt>
                <c:pt idx="56">
                  <c:v>1.9878813056832572</c:v>
                </c:pt>
                <c:pt idx="57">
                  <c:v>2.1200737591993946</c:v>
                </c:pt>
                <c:pt idx="58">
                  <c:v>2.2585265336710543</c:v>
                </c:pt>
                <c:pt idx="59">
                  <c:v>2.4034204691097449</c:v>
                </c:pt>
                <c:pt idx="60">
                  <c:v>2.5549384041454051</c:v>
                </c:pt>
                <c:pt idx="61">
                  <c:v>2.7132651636767533</c:v>
                </c:pt>
                <c:pt idx="62">
                  <c:v>2.8785875468036548</c:v>
                </c:pt>
                <c:pt idx="63">
                  <c:v>3.0510943150305407</c:v>
                </c:pt>
                <c:pt idx="64">
                  <c:v>3.2309761807304458</c:v>
                </c:pt>
                <c:pt idx="65">
                  <c:v>3.4184257958598967</c:v>
                </c:pt>
                <c:pt idx="66">
                  <c:v>3.6136377409153146</c:v>
                </c:pt>
                <c:pt idx="67">
                  <c:v>3.8168085141220822</c:v>
                </c:pt>
                <c:pt idx="68">
                  <c:v>4.0281365208479469</c:v>
                </c:pt>
                <c:pt idx="69">
                  <c:v>4.2478220632328103</c:v>
                </c:pt>
                <c:pt idx="70">
                  <c:v>4.4760673300272824</c:v>
                </c:pt>
                <c:pt idx="71">
                  <c:v>4.713076386632908</c:v>
                </c:pt>
                <c:pt idx="72">
                  <c:v>4.9590551653371664</c:v>
                </c:pt>
                <c:pt idx="73">
                  <c:v>5.2142114557367396</c:v>
                </c:pt>
                <c:pt idx="74">
                  <c:v>5.478754895342858</c:v>
                </c:pt>
                <c:pt idx="75">
                  <c:v>5.7528969603628228</c:v>
                </c:pt>
                <c:pt idx="76">
                  <c:v>6.0368509566519668</c:v>
                </c:pt>
                <c:pt idx="77">
                  <c:v>6.330832010830779</c:v>
                </c:pt>
                <c:pt idx="78">
                  <c:v>6.6350570615619722</c:v>
                </c:pt>
                <c:pt idx="79">
                  <c:v>6.9497448509825288</c:v>
                </c:pt>
                <c:pt idx="80">
                  <c:v>7.2751159162861061</c:v>
                </c:pt>
                <c:pt idx="81">
                  <c:v>7.6113925814511996</c:v>
                </c:pt>
                <c:pt idx="82">
                  <c:v>7.9587989491107898</c:v>
                </c:pt>
                <c:pt idx="83">
                  <c:v>8.3175608925592943</c:v>
                </c:pt>
                <c:pt idx="84">
                  <c:v>8.6879060478929144</c:v>
                </c:pt>
                <c:pt idx="85">
                  <c:v>9.0700638062794603</c:v>
                </c:pt>
                <c:pt idx="86">
                  <c:v>9.4642653063541022</c:v>
                </c:pt>
                <c:pt idx="87">
                  <c:v>9.8707434267375032</c:v>
                </c:pt>
                <c:pt idx="88">
                  <c:v>10.289732778672892</c:v>
                </c:pt>
                <c:pt idx="89">
                  <c:v>10.721469698778938</c:v>
                </c:pt>
                <c:pt idx="90">
                  <c:v>11.166192241915246</c:v>
                </c:pt>
                <c:pt idx="91">
                  <c:v>11.624140174157468</c:v>
                </c:pt>
                <c:pt idx="92">
                  <c:v>12.095554965879151</c:v>
                </c:pt>
                <c:pt idx="93">
                  <c:v>12.580679784937598</c:v>
                </c:pt>
                <c:pt idx="94">
                  <c:v>13.079759489960942</c:v>
                </c:pt>
                <c:pt idx="95">
                  <c:v>13.593040623733952</c:v>
                </c:pt>
                <c:pt idx="96">
                  <c:v>14.120771406680072</c:v>
                </c:pt>
                <c:pt idx="97">
                  <c:v>14.663201730437216</c:v>
                </c:pt>
                <c:pt idx="98">
                  <c:v>15.220583151525076</c:v>
                </c:pt>
                <c:pt idx="99">
                  <c:v>15.793168885101757</c:v>
                </c:pt>
                <c:pt idx="100">
                  <c:v>16.381213798807352</c:v>
                </c:pt>
                <c:pt idx="101">
                  <c:v>16.984974406692682</c:v>
                </c:pt>
                <c:pt idx="102">
                  <c:v>17.604708863230986</c:v>
                </c:pt>
                <c:pt idx="103">
                  <c:v>18.240676957410582</c:v>
                </c:pt>
                <c:pt idx="104">
                  <c:v>18.893140106906802</c:v>
                </c:pt>
                <c:pt idx="105">
                  <c:v>19.562361352331248</c:v>
                </c:pt>
                <c:pt idx="106">
                  <c:v>20.248605351556535</c:v>
                </c:pt>
                <c:pt idx="107">
                  <c:v>20.95213837411503</c:v>
                </c:pt>
                <c:pt idx="108">
                  <c:v>21.673228295669791</c:v>
                </c:pt>
                <c:pt idx="109">
                  <c:v>22.412144592556032</c:v>
                </c:pt>
                <c:pt idx="110">
                  <c:v>23.16915833639176</c:v>
                </c:pt>
                <c:pt idx="111">
                  <c:v>23.944542188756028</c:v>
                </c:pt>
                <c:pt idx="112">
                  <c:v>24.738570395933102</c:v>
                </c:pt>
                <c:pt idx="113">
                  <c:v>25.551518783721576</c:v>
                </c:pt>
                <c:pt idx="114">
                  <c:v>26.383664752306689</c:v>
                </c:pt>
                <c:pt idx="115">
                  <c:v>27.235287271194615</c:v>
                </c:pt>
                <c:pt idx="116">
                  <c:v>28.106666874207594</c:v>
                </c:pt>
                <c:pt idx="117">
                  <c:v>28.998085654538468</c:v>
                </c:pt>
                <c:pt idx="118">
                  <c:v>29.90982725986343</c:v>
                </c:pt>
                <c:pt idx="119">
                  <c:v>30.842176887511897</c:v>
                </c:pt>
                <c:pt idx="120">
                  <c:v>31.795421279692366</c:v>
                </c:pt>
                <c:pt idx="121">
                  <c:v>32.769848718772913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F-47F6-883F-2749B3DF0F50}"/>
            </c:ext>
          </c:extLst>
        </c:ser>
        <c:ser>
          <c:idx val="2"/>
          <c:order val="2"/>
          <c:tx>
            <c:v>MAX[0, Immediate Exercise Value]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'Exhs.27-6&amp;7'!$D$20:$D$185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0.76470588235294201</c:v>
                </c:pt>
                <c:pt idx="90">
                  <c:v>1.764705882352942</c:v>
                </c:pt>
                <c:pt idx="91">
                  <c:v>2.764705882352942</c:v>
                </c:pt>
                <c:pt idx="92">
                  <c:v>3.764705882352942</c:v>
                </c:pt>
                <c:pt idx="93">
                  <c:v>4.764705882352942</c:v>
                </c:pt>
                <c:pt idx="94">
                  <c:v>5.764705882352942</c:v>
                </c:pt>
                <c:pt idx="95">
                  <c:v>6.764705882352942</c:v>
                </c:pt>
                <c:pt idx="96">
                  <c:v>7.764705882352942</c:v>
                </c:pt>
                <c:pt idx="97">
                  <c:v>8.764705882352942</c:v>
                </c:pt>
                <c:pt idx="98">
                  <c:v>9.764705882352942</c:v>
                </c:pt>
                <c:pt idx="99">
                  <c:v>10.764705882352942</c:v>
                </c:pt>
                <c:pt idx="100">
                  <c:v>11.764705882352942</c:v>
                </c:pt>
                <c:pt idx="101">
                  <c:v>12.764705882352942</c:v>
                </c:pt>
                <c:pt idx="102">
                  <c:v>13.764705882352942</c:v>
                </c:pt>
                <c:pt idx="103">
                  <c:v>14.764705882352942</c:v>
                </c:pt>
                <c:pt idx="104">
                  <c:v>15.764705882352942</c:v>
                </c:pt>
                <c:pt idx="105">
                  <c:v>16.764705882352942</c:v>
                </c:pt>
                <c:pt idx="106">
                  <c:v>17.764705882352942</c:v>
                </c:pt>
                <c:pt idx="107">
                  <c:v>18.764705882352942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BF-47F6-883F-2749B3DF0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31520"/>
        <c:axId val="105933440"/>
      </c:lineChart>
      <c:catAx>
        <c:axId val="1059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OBSERVABLE BUILT PROPERTY VALUE</a:t>
                </a:r>
              </a:p>
            </c:rich>
          </c:tx>
          <c:layout>
            <c:manualLayout>
              <c:xMode val="edge"/>
              <c:yMode val="edge"/>
              <c:x val="0.33850516965546906"/>
              <c:y val="0.89292196007259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_);\(\$#,##0\)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3440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05933440"/>
        <c:scaling>
          <c:orientation val="minMax"/>
        </c:scaling>
        <c:delete val="0"/>
        <c:axPos val="l"/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1520"/>
        <c:crosses val="autoZero"/>
        <c:crossBetween val="between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3088921655253967E-2"/>
          <c:y val="0.95281306715063518"/>
          <c:w val="0.82792722744900094"/>
          <c:h val="3.62976406533575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Land Value as a Function of Current Built Property Value: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 = $88.24,  yV = 6%, yK = 1%, volatility = 20%</a:t>
            </a:r>
          </a:p>
        </c:rich>
      </c:tx>
      <c:layout>
        <c:manualLayout>
          <c:xMode val="edge"/>
          <c:yMode val="edge"/>
          <c:x val="0.18873239436619732"/>
          <c:y val="2.9197080291970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4225352112678"/>
          <c:y val="0.18065693430656934"/>
          <c:w val="0.82253521126760554"/>
          <c:h val="0.66240875912408792"/>
        </c:manualLayout>
      </c:layout>
      <c:lineChart>
        <c:grouping val="standard"/>
        <c:varyColors val="0"/>
        <c:ser>
          <c:idx val="0"/>
          <c:order val="0"/>
          <c:tx>
            <c:v>Land (option) Value (C )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'Exhs.27-6&amp;7'!$C$20:$C$185</c:f>
              <c:numCache>
                <c:formatCode>"$"#,##0.00</c:formatCode>
                <c:ptCount val="166"/>
                <c:pt idx="0">
                  <c:v>0</c:v>
                </c:pt>
                <c:pt idx="1">
                  <c:v>8.6981894171968251E-7</c:v>
                </c:pt>
                <c:pt idx="2">
                  <c:v>1.0824628744145451E-5</c:v>
                </c:pt>
                <c:pt idx="3">
                  <c:v>4.7308336399960705E-5</c:v>
                </c:pt>
                <c:pt idx="4">
                  <c:v>1.3470916972321058E-4</c:v>
                </c:pt>
                <c:pt idx="5">
                  <c:v>3.0332158762663979E-4</c:v>
                </c:pt>
                <c:pt idx="6">
                  <c:v>5.887376711069043E-4</c:v>
                </c:pt>
                <c:pt idx="7">
                  <c:v>1.0314258266744469E-3</c:v>
                </c:pt>
                <c:pt idx="8">
                  <c:v>1.6764141141867247E-3</c:v>
                </c:pt>
                <c:pt idx="9">
                  <c:v>2.5730397276783183E-3</c:v>
                </c:pt>
                <c:pt idx="10">
                  <c:v>3.7747437066061092E-3</c:v>
                </c:pt>
                <c:pt idx="11">
                  <c:v>5.3388983070364908E-3</c:v>
                </c:pt>
                <c:pt idx="12">
                  <c:v>7.3266589306799088E-3</c:v>
                </c:pt>
                <c:pt idx="13">
                  <c:v>9.8028351076749152E-3</c:v>
                </c:pt>
                <c:pt idx="14">
                  <c:v>1.2835776637377831E-2</c:v>
                </c:pt>
                <c:pt idx="15">
                  <c:v>1.6497272037375027E-2</c:v>
                </c:pt>
                <c:pt idx="16">
                  <c:v>2.0862457158773679E-2</c:v>
                </c:pt>
                <c:pt idx="17">
                  <c:v>2.6009732320862657E-2</c:v>
                </c:pt>
                <c:pt idx="18">
                  <c:v>3.2020686674159499E-2</c:v>
                </c:pt>
                <c:pt idx="19">
                  <c:v>3.8980028762880217E-2</c:v>
                </c:pt>
                <c:pt idx="20">
                  <c:v>4.6975522454739509E-2</c:v>
                </c:pt>
                <c:pt idx="21">
                  <c:v>5.6097927556569137E-2</c:v>
                </c:pt>
                <c:pt idx="22">
                  <c:v>6.6440944551241193E-2</c:v>
                </c:pt>
                <c:pt idx="23">
                  <c:v>7.8101162983565425E-2</c:v>
                </c:pt>
                <c:pt idx="24">
                  <c:v>9.1178013096369845E-2</c:v>
                </c:pt>
                <c:pt idx="25">
                  <c:v>0.10577372037730999</c:v>
                </c:pt>
                <c:pt idx="26">
                  <c:v>0.1219932627253052</c:v>
                </c:pt>
                <c:pt idx="27">
                  <c:v>0.13994432998528369</c:v>
                </c:pt>
                <c:pt idx="28">
                  <c:v>0.15973728563290818</c:v>
                </c:pt>
                <c:pt idx="29">
                  <c:v>0.18148513041854569</c:v>
                </c:pt>
                <c:pt idx="30">
                  <c:v>0.20530346780296627</c:v>
                </c:pt>
                <c:pt idx="31">
                  <c:v>0.23131047103693309</c:v>
                </c:pt>
                <c:pt idx="32">
                  <c:v>0.25962685175364114</c:v>
                </c:pt>
                <c:pt idx="33">
                  <c:v>0.29037582995733507</c:v>
                </c:pt>
                <c:pt idx="34">
                  <c:v>0.3236831053038543</c:v>
                </c:pt>
                <c:pt idx="35">
                  <c:v>0.35967682957959346</c:v>
                </c:pt>
                <c:pt idx="36">
                  <c:v>0.39848758029471049</c:v>
                </c:pt>
                <c:pt idx="37">
                  <c:v>0.44024833531460433</c:v>
                </c:pt>
                <c:pt idx="38">
                  <c:v>0.48509444846082794</c:v>
                </c:pt>
                <c:pt idx="39">
                  <c:v>0.5331636260189494</c:v>
                </c:pt>
                <c:pt idx="40">
                  <c:v>0.58459590409643691</c:v>
                </c:pt>
                <c:pt idx="41">
                  <c:v>0.63953362677860393</c:v>
                </c:pt>
                <c:pt idx="42">
                  <c:v>0.69812142503505503</c:v>
                </c:pt>
                <c:pt idx="43">
                  <c:v>0.76050619633302829</c:v>
                </c:pt>
                <c:pt idx="44">
                  <c:v>0.82683708491751584</c:v>
                </c:pt>
                <c:pt idx="45">
                  <c:v>0.89726546272123409</c:v>
                </c:pt>
                <c:pt idx="46">
                  <c:v>0.97194491087036505</c:v>
                </c:pt>
                <c:pt idx="47">
                  <c:v>1.0510312017545267</c:v>
                </c:pt>
                <c:pt idx="48">
                  <c:v>1.1346822816317883</c:v>
                </c:pt>
                <c:pt idx="49">
                  <c:v>1.2230582537416272</c:v>
                </c:pt>
                <c:pt idx="50">
                  <c:v>1.3163213619006486</c:v>
                </c:pt>
                <c:pt idx="51">
                  <c:v>1.4146359745576242</c:v>
                </c:pt>
                <c:pt idx="52">
                  <c:v>1.5181685692859943</c:v>
                </c:pt>
                <c:pt idx="53">
                  <c:v>1.6270877176934355</c:v>
                </c:pt>
                <c:pt idx="54">
                  <c:v>1.7415640707294127</c:v>
                </c:pt>
                <c:pt idx="55">
                  <c:v>1.8617703443728579</c:v>
                </c:pt>
                <c:pt idx="56">
                  <c:v>1.9878813056832572</c:v>
                </c:pt>
                <c:pt idx="57">
                  <c:v>2.1200737591993946</c:v>
                </c:pt>
                <c:pt idx="58">
                  <c:v>2.2585265336710543</c:v>
                </c:pt>
                <c:pt idx="59">
                  <c:v>2.4034204691097449</c:v>
                </c:pt>
                <c:pt idx="60">
                  <c:v>2.5549384041454051</c:v>
                </c:pt>
                <c:pt idx="61">
                  <c:v>2.7132651636767533</c:v>
                </c:pt>
                <c:pt idx="62">
                  <c:v>2.8785875468036548</c:v>
                </c:pt>
                <c:pt idx="63">
                  <c:v>3.0510943150305407</c:v>
                </c:pt>
                <c:pt idx="64">
                  <c:v>3.2309761807304458</c:v>
                </c:pt>
                <c:pt idx="65">
                  <c:v>3.4184257958598967</c:v>
                </c:pt>
                <c:pt idx="66">
                  <c:v>3.6136377409153146</c:v>
                </c:pt>
                <c:pt idx="67">
                  <c:v>3.8168085141220822</c:v>
                </c:pt>
                <c:pt idx="68">
                  <c:v>4.0281365208479469</c:v>
                </c:pt>
                <c:pt idx="69">
                  <c:v>4.2478220632328103</c:v>
                </c:pt>
                <c:pt idx="70">
                  <c:v>4.4760673300272824</c:v>
                </c:pt>
                <c:pt idx="71">
                  <c:v>4.713076386632908</c:v>
                </c:pt>
                <c:pt idx="72">
                  <c:v>4.9590551653371664</c:v>
                </c:pt>
                <c:pt idx="73">
                  <c:v>5.2142114557367396</c:v>
                </c:pt>
                <c:pt idx="74">
                  <c:v>5.478754895342858</c:v>
                </c:pt>
                <c:pt idx="75">
                  <c:v>5.7528969603628228</c:v>
                </c:pt>
                <c:pt idx="76">
                  <c:v>6.0368509566519668</c:v>
                </c:pt>
                <c:pt idx="77">
                  <c:v>6.330832010830779</c:v>
                </c:pt>
                <c:pt idx="78">
                  <c:v>6.6350570615619722</c:v>
                </c:pt>
                <c:pt idx="79">
                  <c:v>6.9497448509825288</c:v>
                </c:pt>
                <c:pt idx="80">
                  <c:v>7.2751159162861061</c:v>
                </c:pt>
                <c:pt idx="81">
                  <c:v>7.6113925814511996</c:v>
                </c:pt>
                <c:pt idx="82">
                  <c:v>7.9587989491107898</c:v>
                </c:pt>
                <c:pt idx="83">
                  <c:v>8.3175608925592943</c:v>
                </c:pt>
                <c:pt idx="84">
                  <c:v>8.6879060478929144</c:v>
                </c:pt>
                <c:pt idx="85">
                  <c:v>9.0700638062794603</c:v>
                </c:pt>
                <c:pt idx="86">
                  <c:v>9.4642653063541022</c:v>
                </c:pt>
                <c:pt idx="87">
                  <c:v>9.8707434267375032</c:v>
                </c:pt>
                <c:pt idx="88">
                  <c:v>10.289732778672892</c:v>
                </c:pt>
                <c:pt idx="89">
                  <c:v>10.721469698778938</c:v>
                </c:pt>
                <c:pt idx="90">
                  <c:v>11.166192241915246</c:v>
                </c:pt>
                <c:pt idx="91">
                  <c:v>11.624140174157468</c:v>
                </c:pt>
                <c:pt idx="92">
                  <c:v>12.095554965879151</c:v>
                </c:pt>
                <c:pt idx="93">
                  <c:v>12.580679784937598</c:v>
                </c:pt>
                <c:pt idx="94">
                  <c:v>13.079759489960942</c:v>
                </c:pt>
                <c:pt idx="95">
                  <c:v>13.593040623733952</c:v>
                </c:pt>
                <c:pt idx="96">
                  <c:v>14.120771406680072</c:v>
                </c:pt>
                <c:pt idx="97">
                  <c:v>14.663201730437216</c:v>
                </c:pt>
                <c:pt idx="98">
                  <c:v>15.220583151525076</c:v>
                </c:pt>
                <c:pt idx="99">
                  <c:v>15.793168885101757</c:v>
                </c:pt>
                <c:pt idx="100">
                  <c:v>16.381213798807352</c:v>
                </c:pt>
                <c:pt idx="101">
                  <c:v>16.984974406692682</c:v>
                </c:pt>
                <c:pt idx="102">
                  <c:v>17.604708863230986</c:v>
                </c:pt>
                <c:pt idx="103">
                  <c:v>18.240676957410582</c:v>
                </c:pt>
                <c:pt idx="104">
                  <c:v>18.893140106906802</c:v>
                </c:pt>
                <c:pt idx="105">
                  <c:v>19.562361352331248</c:v>
                </c:pt>
                <c:pt idx="106">
                  <c:v>20.248605351556535</c:v>
                </c:pt>
                <c:pt idx="107">
                  <c:v>20.95213837411503</c:v>
                </c:pt>
                <c:pt idx="108">
                  <c:v>21.673228295669791</c:v>
                </c:pt>
                <c:pt idx="109">
                  <c:v>22.412144592556032</c:v>
                </c:pt>
                <c:pt idx="110">
                  <c:v>23.16915833639176</c:v>
                </c:pt>
                <c:pt idx="111">
                  <c:v>23.944542188756028</c:v>
                </c:pt>
                <c:pt idx="112">
                  <c:v>24.738570395933102</c:v>
                </c:pt>
                <c:pt idx="113">
                  <c:v>25.551518783721576</c:v>
                </c:pt>
                <c:pt idx="114">
                  <c:v>26.383664752306689</c:v>
                </c:pt>
                <c:pt idx="115">
                  <c:v>27.235287271194615</c:v>
                </c:pt>
                <c:pt idx="116">
                  <c:v>28.106666874207594</c:v>
                </c:pt>
                <c:pt idx="117">
                  <c:v>28.998085654538468</c:v>
                </c:pt>
                <c:pt idx="118">
                  <c:v>29.90982725986343</c:v>
                </c:pt>
                <c:pt idx="119">
                  <c:v>30.842176887511897</c:v>
                </c:pt>
                <c:pt idx="120">
                  <c:v>31.795421279692366</c:v>
                </c:pt>
                <c:pt idx="121">
                  <c:v>32.769848718772913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1-4E47-A8BB-F43F4C705565}"/>
            </c:ext>
          </c:extLst>
        </c:ser>
        <c:ser>
          <c:idx val="2"/>
          <c:order val="1"/>
          <c:tx>
            <c:v>MAX[0, Immediate Exercise Value]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'Exhs.27-6&amp;7'!$D$20:$D$185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0.76470588235294201</c:v>
                </c:pt>
                <c:pt idx="90">
                  <c:v>1.764705882352942</c:v>
                </c:pt>
                <c:pt idx="91">
                  <c:v>2.764705882352942</c:v>
                </c:pt>
                <c:pt idx="92">
                  <c:v>3.764705882352942</c:v>
                </c:pt>
                <c:pt idx="93">
                  <c:v>4.764705882352942</c:v>
                </c:pt>
                <c:pt idx="94">
                  <c:v>5.764705882352942</c:v>
                </c:pt>
                <c:pt idx="95">
                  <c:v>6.764705882352942</c:v>
                </c:pt>
                <c:pt idx="96">
                  <c:v>7.764705882352942</c:v>
                </c:pt>
                <c:pt idx="97">
                  <c:v>8.764705882352942</c:v>
                </c:pt>
                <c:pt idx="98">
                  <c:v>9.764705882352942</c:v>
                </c:pt>
                <c:pt idx="99">
                  <c:v>10.764705882352942</c:v>
                </c:pt>
                <c:pt idx="100">
                  <c:v>11.764705882352942</c:v>
                </c:pt>
                <c:pt idx="101">
                  <c:v>12.764705882352942</c:v>
                </c:pt>
                <c:pt idx="102">
                  <c:v>13.764705882352942</c:v>
                </c:pt>
                <c:pt idx="103">
                  <c:v>14.764705882352942</c:v>
                </c:pt>
                <c:pt idx="104">
                  <c:v>15.764705882352942</c:v>
                </c:pt>
                <c:pt idx="105">
                  <c:v>16.764705882352942</c:v>
                </c:pt>
                <c:pt idx="106">
                  <c:v>17.764705882352942</c:v>
                </c:pt>
                <c:pt idx="107">
                  <c:v>18.764705882352942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1-4E47-A8BB-F43F4C705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360832"/>
        <c:axId val="106362752"/>
      </c:lineChart>
      <c:catAx>
        <c:axId val="1063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OBSERVABLE BUILT PROPERTY VALUE</a:t>
                </a:r>
              </a:p>
            </c:rich>
          </c:tx>
          <c:layout>
            <c:manualLayout>
              <c:xMode val="edge"/>
              <c:yMode val="edge"/>
              <c:x val="0.33943661971830996"/>
              <c:y val="0.8923357664233576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_);\(\$#,##0\)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2752"/>
        <c:crosses val="autoZero"/>
        <c:auto val="0"/>
        <c:lblAlgn val="ctr"/>
        <c:lblOffset val="100"/>
        <c:tickLblSkip val="20"/>
        <c:tickMarkSkip val="5"/>
        <c:noMultiLvlLbl val="0"/>
      </c:catAx>
      <c:valAx>
        <c:axId val="106362752"/>
        <c:scaling>
          <c:orientation val="minMax"/>
        </c:scaling>
        <c:delete val="0"/>
        <c:axPos val="l"/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0832"/>
        <c:crosses val="autoZero"/>
        <c:crossBetween val="between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704225352112678"/>
          <c:y val="0.95255474452554745"/>
          <c:w val="0.67746478873239413"/>
          <c:h val="3.64963503649635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25</xdr:row>
      <xdr:rowOff>0</xdr:rowOff>
    </xdr:from>
    <xdr:to>
      <xdr:col>36</xdr:col>
      <xdr:colOff>57150</xdr:colOff>
      <xdr:row>25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64</xdr:row>
      <xdr:rowOff>0</xdr:rowOff>
    </xdr:from>
    <xdr:to>
      <xdr:col>36</xdr:col>
      <xdr:colOff>57150</xdr:colOff>
      <xdr:row>64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20</xdr:row>
      <xdr:rowOff>9525</xdr:rowOff>
    </xdr:from>
    <xdr:to>
      <xdr:col>21</xdr:col>
      <xdr:colOff>571500</xdr:colOff>
      <xdr:row>42</xdr:row>
      <xdr:rowOff>38100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54</xdr:row>
      <xdr:rowOff>0</xdr:rowOff>
    </xdr:from>
    <xdr:to>
      <xdr:col>37</xdr:col>
      <xdr:colOff>57150</xdr:colOff>
      <xdr:row>54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95250</xdr:colOff>
      <xdr:row>0</xdr:row>
      <xdr:rowOff>66675</xdr:rowOff>
    </xdr:from>
    <xdr:to>
      <xdr:col>22</xdr:col>
      <xdr:colOff>600075</xdr:colOff>
      <xdr:row>21</xdr:row>
      <xdr:rowOff>85725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50</xdr:row>
      <xdr:rowOff>0</xdr:rowOff>
    </xdr:from>
    <xdr:to>
      <xdr:col>36</xdr:col>
      <xdr:colOff>57150</xdr:colOff>
      <xdr:row>50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19</xdr:row>
      <xdr:rowOff>9525</xdr:rowOff>
    </xdr:from>
    <xdr:to>
      <xdr:col>21</xdr:col>
      <xdr:colOff>571500</xdr:colOff>
      <xdr:row>39</xdr:row>
      <xdr:rowOff>142875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7</xdr:row>
          <xdr:rowOff>142875</xdr:rowOff>
        </xdr:from>
        <xdr:to>
          <xdr:col>8</xdr:col>
          <xdr:colOff>600075</xdr:colOff>
          <xdr:row>15</xdr:row>
          <xdr:rowOff>28575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1925ADBD-0D84-4432-B9D1-7079FC1FB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95250</xdr:rowOff>
    </xdr:from>
    <xdr:to>
      <xdr:col>12</xdr:col>
      <xdr:colOff>228600</xdr:colOff>
      <xdr:row>27</xdr:row>
      <xdr:rowOff>161925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6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28</xdr:row>
      <xdr:rowOff>38100</xdr:rowOff>
    </xdr:from>
    <xdr:to>
      <xdr:col>12</xdr:col>
      <xdr:colOff>238125</xdr:colOff>
      <xdr:row>55</xdr:row>
      <xdr:rowOff>114300</xdr:rowOff>
    </xdr:to>
    <xdr:graphicFrame macro="">
      <xdr:nvGraphicFramePr>
        <xdr:cNvPr id="5124" name="Chart 4">
          <a:extLst>
            <a:ext uri="{FF2B5EF4-FFF2-40B4-BE49-F238E27FC236}">
              <a16:creationId xmlns:a16="http://schemas.microsoft.com/office/drawing/2014/main" id="{00000000-0008-0000-06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0.61289</cdr:x>
      <cdr:y>0.76143</cdr:y>
    </cdr:from>
    <cdr:to>
      <cdr:x>0.71715</cdr:x>
      <cdr:y>0.8444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7979" y="4006604"/>
          <a:ext cx="705088" cy="4362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 = $107.40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= $19.17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(C/V*) = 18% </a:t>
          </a:r>
        </a:p>
      </cdr:txBody>
    </cdr:sp>
  </cdr:relSizeAnchor>
  <cdr:relSizeAnchor xmlns:cdr="http://schemas.openxmlformats.org/drawingml/2006/chartDrawing">
    <cdr:from>
      <cdr:x>0.64074</cdr:x>
      <cdr:y>0.72387</cdr:y>
    </cdr:from>
    <cdr:to>
      <cdr:x>0.64074</cdr:x>
      <cdr:y>0.76143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36336" y="3809136"/>
          <a:ext cx="0" cy="197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0.68338</cdr:x>
      <cdr:y>0.66275</cdr:y>
    </cdr:from>
    <cdr:to>
      <cdr:x>0.79257</cdr:x>
      <cdr:y>0.75284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4705" y="3487768"/>
          <a:ext cx="738426" cy="4736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 = $121.69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= $33.45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(C/V*) = 27.5%</a:t>
          </a:r>
        </a:p>
      </cdr:txBody>
    </cdr:sp>
  </cdr:relSizeAnchor>
  <cdr:relSizeAnchor xmlns:cdr="http://schemas.openxmlformats.org/drawingml/2006/chartDrawing">
    <cdr:from>
      <cdr:x>0.70408</cdr:x>
      <cdr:y>0.63035</cdr:y>
    </cdr:from>
    <cdr:to>
      <cdr:x>0.70408</cdr:x>
      <cdr:y>0.66275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4723" y="3317404"/>
          <a:ext cx="0" cy="1703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0.57419</cdr:x>
      <cdr:y>0.4374</cdr:y>
    </cdr:from>
    <cdr:to>
      <cdr:x>0.69669</cdr:x>
      <cdr:y>0.49632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6279" y="2302962"/>
          <a:ext cx="828437" cy="309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 Optimal: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(V/K)* = 1.38</a:t>
          </a:r>
        </a:p>
      </cdr:txBody>
    </cdr:sp>
  </cdr:relSizeAnchor>
  <cdr:relSizeAnchor xmlns:cdr="http://schemas.openxmlformats.org/drawingml/2006/chartDrawing">
    <cdr:from>
      <cdr:x>0.63827</cdr:x>
      <cdr:y>0.49632</cdr:y>
    </cdr:from>
    <cdr:to>
      <cdr:x>0.69669</cdr:x>
      <cdr:y>0.60629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9667" y="2612715"/>
          <a:ext cx="395049" cy="578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0.5069</cdr:x>
      <cdr:y>0.53805</cdr:y>
    </cdr:from>
    <cdr:to>
      <cdr:x>0.6294</cdr:x>
      <cdr:y>0.59721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1223" y="2832124"/>
          <a:ext cx="828436" cy="3110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 Optimal: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(V/K)* = 1.22</a:t>
          </a:r>
        </a:p>
      </cdr:txBody>
    </cdr:sp>
  </cdr:relSizeAnchor>
  <cdr:relSizeAnchor xmlns:cdr="http://schemas.openxmlformats.org/drawingml/2006/chartDrawing">
    <cdr:from>
      <cdr:x>0.57025</cdr:x>
      <cdr:y>0.59721</cdr:y>
    </cdr:from>
    <cdr:to>
      <cdr:x>0.6294</cdr:x>
      <cdr:y>0.70718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9609" y="3143167"/>
          <a:ext cx="400050" cy="578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0.93528</cdr:x>
      <cdr:y>0.85176</cdr:y>
    </cdr:from>
    <cdr:to>
      <cdr:x>0.96486</cdr:x>
      <cdr:y>0.89496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8251" y="4481559"/>
          <a:ext cx="200025" cy="227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</a:p>
      </cdr:txBody>
    </cdr:sp>
  </cdr:relSizeAnchor>
  <cdr:relSizeAnchor xmlns:cdr="http://schemas.openxmlformats.org/drawingml/2006/chartDrawing">
    <cdr:from>
      <cdr:x>0.04648</cdr:x>
      <cdr:y>0.1232</cdr:y>
    </cdr:from>
    <cdr:to>
      <cdr:x>0.0763</cdr:x>
      <cdr:y>0.16665</cdr:y>
    </cdr:to>
    <cdr:sp macro="" textlink="">
      <cdr:nvSpPr>
        <cdr:cNvPr id="61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0" y="650946"/>
          <a:ext cx="201692" cy="228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0.8436</cdr:x>
      <cdr:y>0.45533</cdr:y>
    </cdr:from>
    <cdr:to>
      <cdr:x>0.9449</cdr:x>
      <cdr:y>0.51669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256" y="2384192"/>
          <a:ext cx="686064" cy="320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NPV of 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Construction</a:t>
          </a:r>
        </a:p>
      </cdr:txBody>
    </cdr:sp>
  </cdr:relSizeAnchor>
  <cdr:relSizeAnchor xmlns:cdr="http://schemas.openxmlformats.org/drawingml/2006/chartDrawing">
    <cdr:from>
      <cdr:x>0.78937</cdr:x>
      <cdr:y>0.48429</cdr:y>
    </cdr:from>
    <cdr:to>
      <cdr:x>0.8436</cdr:x>
      <cdr:y>0.48503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49019" y="2535644"/>
          <a:ext cx="367237" cy="38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0.46253</cdr:x>
      <cdr:y>0.5702</cdr:y>
    </cdr:from>
    <cdr:to>
      <cdr:x>0.5668</cdr:x>
      <cdr:y>0.65242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5586" y="2984867"/>
          <a:ext cx="706095" cy="429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Land Value: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C = $16.38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@ V = $100.</a:t>
          </a:r>
        </a:p>
      </cdr:txBody>
    </cdr:sp>
  </cdr:relSizeAnchor>
  <cdr:relSizeAnchor xmlns:cdr="http://schemas.openxmlformats.org/drawingml/2006/chartDrawing">
    <cdr:from>
      <cdr:x>0.53475</cdr:x>
      <cdr:y>0.65242</cdr:y>
    </cdr:from>
    <cdr:to>
      <cdr:x>0.59317</cdr:x>
      <cdr:y>0.71771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4678" y="3414837"/>
          <a:ext cx="395613" cy="3414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FF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0.61042</cdr:x>
      <cdr:y>0.42612</cdr:y>
    </cdr:from>
    <cdr:to>
      <cdr:x>0.68757</cdr:x>
      <cdr:y>0.48429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139" y="2231456"/>
          <a:ext cx="522478" cy="304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Optimal</a:t>
          </a:r>
        </a:p>
      </cdr:txBody>
    </cdr:sp>
  </cdr:relSizeAnchor>
  <cdr:relSizeAnchor xmlns:cdr="http://schemas.openxmlformats.org/drawingml/2006/chartDrawing">
    <cdr:from>
      <cdr:x>0.65134</cdr:x>
      <cdr:y>0.48429</cdr:y>
    </cdr:from>
    <cdr:to>
      <cdr:x>0.7105</cdr:x>
      <cdr:y>0.59352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4236" y="2535644"/>
          <a:ext cx="400621" cy="5711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0.7105</cdr:x>
      <cdr:y>0.60996</cdr:y>
    </cdr:from>
    <cdr:to>
      <cdr:x>0.7105</cdr:x>
      <cdr:y>0.83602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14857" y="3192793"/>
          <a:ext cx="0" cy="1182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0.67525</cdr:x>
      <cdr:y>0.89247</cdr:y>
    </cdr:from>
    <cdr:to>
      <cdr:x>0.76645</cdr:x>
      <cdr:y>0.94892</cdr:y>
    </cdr:to>
    <cdr:sp macro="" textlink="">
      <cdr:nvSpPr>
        <cdr:cNvPr id="717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6154" y="4670094"/>
          <a:ext cx="617625" cy="295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V*=$121.69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"Hurdle"</a:t>
          </a:r>
        </a:p>
      </cdr:txBody>
    </cdr:sp>
  </cdr:relSizeAnchor>
  <cdr:relSizeAnchor xmlns:cdr="http://schemas.openxmlformats.org/drawingml/2006/chartDrawing">
    <cdr:from>
      <cdr:x>0.7105</cdr:x>
      <cdr:y>0.84878</cdr:y>
    </cdr:from>
    <cdr:to>
      <cdr:x>0.7105</cdr:x>
      <cdr:y>0.89247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814857" y="4441632"/>
          <a:ext cx="0" cy="2284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0.93258</cdr:x>
      <cdr:y>0.83602</cdr:y>
    </cdr:from>
    <cdr:to>
      <cdr:x>0.96216</cdr:x>
      <cdr:y>0.87971</cdr:y>
    </cdr:to>
    <cdr:sp macro="" textlink="">
      <cdr:nvSpPr>
        <cdr:cNvPr id="717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857" y="4374890"/>
          <a:ext cx="200311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</a:p>
      </cdr:txBody>
    </cdr:sp>
  </cdr:relSizeAnchor>
  <cdr:relSizeAnchor xmlns:cdr="http://schemas.openxmlformats.org/drawingml/2006/chartDrawing">
    <cdr:from>
      <cdr:x>0.04499</cdr:x>
      <cdr:y>0.11121</cdr:y>
    </cdr:from>
    <cdr:to>
      <cdr:x>0.07457</cdr:x>
      <cdr:y>0.1549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5" y="584733"/>
          <a:ext cx="200311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eltner/My%20Documents/Teaching/431f04/Real%20Options/Binom&amp;Sam-M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eltner/My%20Documents/Teaching/432s04/Sam-McK_LAND_Formula_wFisher-Margra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om-SamMcK (2)"/>
      <sheetName val="Binom-SamMcK"/>
      <sheetName val="BinomExmpl (3)"/>
      <sheetName val="BinomExmpl (2)"/>
      <sheetName val="BinomExmpl"/>
      <sheetName val="DTA&amp;realoptions"/>
      <sheetName val="Black-Scholes"/>
      <sheetName val="Sam-McK Formula"/>
      <sheetName val="Charts"/>
      <sheetName val="Comparis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K10">
            <v>0</v>
          </cell>
          <cell r="L10">
            <v>0</v>
          </cell>
          <cell r="M10">
            <v>0</v>
          </cell>
        </row>
        <row r="11">
          <cell r="K11">
            <v>0.01</v>
          </cell>
          <cell r="L11">
            <v>1.2226112044404848E-11</v>
          </cell>
          <cell r="M11">
            <v>0</v>
          </cell>
        </row>
        <row r="12">
          <cell r="K12">
            <v>0.02</v>
          </cell>
          <cell r="L12">
            <v>3.6938949169862036E-10</v>
          </cell>
          <cell r="M12">
            <v>0</v>
          </cell>
        </row>
        <row r="13">
          <cell r="K13">
            <v>0.03</v>
          </cell>
          <cell r="L13">
            <v>2.7123378648776208E-9</v>
          </cell>
          <cell r="M13">
            <v>0</v>
          </cell>
        </row>
        <row r="14">
          <cell r="K14">
            <v>0.04</v>
          </cell>
          <cell r="L14">
            <v>1.1160424187328539E-8</v>
          </cell>
          <cell r="M14">
            <v>0</v>
          </cell>
        </row>
        <row r="15">
          <cell r="K15">
            <v>0.05</v>
          </cell>
          <cell r="L15">
            <v>3.3434700183583563E-8</v>
          </cell>
          <cell r="M15">
            <v>0</v>
          </cell>
        </row>
        <row r="16">
          <cell r="K16">
            <v>6.0000000000000005E-2</v>
          </cell>
          <cell r="L16">
            <v>8.1948300619457922E-8</v>
          </cell>
          <cell r="M16">
            <v>0</v>
          </cell>
        </row>
        <row r="17">
          <cell r="K17">
            <v>7.0000000000000007E-2</v>
          </cell>
          <cell r="L17">
            <v>1.7487364449180476E-7</v>
          </cell>
          <cell r="M17">
            <v>0</v>
          </cell>
        </row>
        <row r="18">
          <cell r="K18">
            <v>0.08</v>
          </cell>
          <cell r="L18">
            <v>3.371916928885758E-7</v>
          </cell>
          <cell r="M18">
            <v>0</v>
          </cell>
        </row>
        <row r="19">
          <cell r="K19">
            <v>0.09</v>
          </cell>
          <cell r="L19">
            <v>6.0172658867588474E-7</v>
          </cell>
          <cell r="M19">
            <v>0</v>
          </cell>
        </row>
        <row r="20">
          <cell r="K20">
            <v>9.9999999999999992E-2</v>
          </cell>
          <cell r="L20">
            <v>1.0101679798985422E-6</v>
          </cell>
          <cell r="M20">
            <v>0</v>
          </cell>
        </row>
        <row r="21">
          <cell r="K21">
            <v>0.10999999999999999</v>
          </cell>
          <cell r="L21">
            <v>1.614082715072134E-6</v>
          </cell>
          <cell r="M21">
            <v>0</v>
          </cell>
        </row>
        <row r="22">
          <cell r="K22">
            <v>0.11999999999999998</v>
          </cell>
          <cell r="L22">
            <v>2.4759172009420917E-6</v>
          </cell>
          <cell r="M22">
            <v>0</v>
          </cell>
        </row>
        <row r="23">
          <cell r="K23">
            <v>0.12999999999999998</v>
          </cell>
          <cell r="L23">
            <v>3.6699914408553985E-6</v>
          </cell>
          <cell r="M23">
            <v>0</v>
          </cell>
        </row>
        <row r="24">
          <cell r="K24">
            <v>0.13999999999999999</v>
          </cell>
          <cell r="L24">
            <v>5.2834855770747396E-6</v>
          </cell>
          <cell r="M24">
            <v>0</v>
          </cell>
        </row>
        <row r="25">
          <cell r="K25">
            <v>0.15</v>
          </cell>
          <cell r="L25">
            <v>7.4174196162602682E-6</v>
          </cell>
          <cell r="M25">
            <v>0</v>
          </cell>
        </row>
        <row r="26">
          <cell r="K26">
            <v>0.16</v>
          </cell>
          <cell r="L26">
            <v>1.0187626907779684E-5</v>
          </cell>
          <cell r="M26">
            <v>0</v>
          </cell>
        </row>
        <row r="27">
          <cell r="K27">
            <v>0.17</v>
          </cell>
          <cell r="L27">
            <v>1.3725721859285342E-5</v>
          </cell>
          <cell r="M27">
            <v>0</v>
          </cell>
        </row>
        <row r="28">
          <cell r="K28">
            <v>0.18000000000000002</v>
          </cell>
          <cell r="L28">
            <v>1.8180062306418182E-5</v>
          </cell>
          <cell r="M28">
            <v>0</v>
          </cell>
        </row>
        <row r="29">
          <cell r="K29">
            <v>0.19000000000000003</v>
          </cell>
          <cell r="L29">
            <v>2.3716706899025252E-5</v>
          </cell>
          <cell r="M29">
            <v>0</v>
          </cell>
        </row>
        <row r="30">
          <cell r="K30">
            <v>0.20000000000000004</v>
          </cell>
          <cell r="L30">
            <v>3.0520367821732076E-5</v>
          </cell>
          <cell r="M30">
            <v>0</v>
          </cell>
        </row>
        <row r="31">
          <cell r="K31">
            <v>0.21000000000000005</v>
          </cell>
          <cell r="L31">
            <v>3.8795359129833568E-5</v>
          </cell>
          <cell r="M31">
            <v>0</v>
          </cell>
        </row>
        <row r="32">
          <cell r="K32">
            <v>0.22000000000000006</v>
          </cell>
          <cell r="L32">
            <v>4.876654095059433E-5</v>
          </cell>
          <cell r="M32">
            <v>0</v>
          </cell>
        </row>
        <row r="33">
          <cell r="K33">
            <v>0.23000000000000007</v>
          </cell>
          <cell r="L33">
            <v>6.0680259773953333E-5</v>
          </cell>
          <cell r="M33">
            <v>0</v>
          </cell>
        </row>
        <row r="34">
          <cell r="K34">
            <v>0.24000000000000007</v>
          </cell>
          <cell r="L34">
            <v>7.4805285034371756E-5</v>
          </cell>
          <cell r="M34">
            <v>0</v>
          </cell>
        </row>
        <row r="35">
          <cell r="K35">
            <v>0.25000000000000006</v>
          </cell>
          <cell r="L35">
            <v>9.14337421664403E-5</v>
          </cell>
          <cell r="M35">
            <v>0</v>
          </cell>
        </row>
        <row r="36">
          <cell r="K36">
            <v>0.26000000000000006</v>
          </cell>
          <cell r="L36">
            <v>1.1088204230029643E-4</v>
          </cell>
          <cell r="M36">
            <v>0</v>
          </cell>
        </row>
        <row r="37">
          <cell r="K37">
            <v>0.27000000000000007</v>
          </cell>
          <cell r="L37">
            <v>1.3349180874848546E-4</v>
          </cell>
          <cell r="M37">
            <v>0</v>
          </cell>
        </row>
        <row r="38">
          <cell r="K38">
            <v>0.28000000000000008</v>
          </cell>
          <cell r="L38">
            <v>1.5963080042324593E-4</v>
          </cell>
          <cell r="M38">
            <v>0</v>
          </cell>
        </row>
        <row r="39">
          <cell r="K39">
            <v>0.29000000000000009</v>
          </cell>
          <cell r="L39">
            <v>1.8969383231206316E-4</v>
          </cell>
          <cell r="M39">
            <v>0</v>
          </cell>
        </row>
        <row r="40">
          <cell r="K40">
            <v>0.3000000000000001</v>
          </cell>
          <cell r="L40">
            <v>2.2410369312946449E-4</v>
          </cell>
          <cell r="M40">
            <v>0</v>
          </cell>
        </row>
        <row r="41">
          <cell r="K41">
            <v>0.31000000000000011</v>
          </cell>
          <cell r="L41">
            <v>2.6331206025424731E-4</v>
          </cell>
          <cell r="M41">
            <v>0</v>
          </cell>
        </row>
        <row r="42">
          <cell r="K42">
            <v>0.32000000000000012</v>
          </cell>
          <cell r="L42">
            <v>3.0780041205348861E-4</v>
          </cell>
          <cell r="M42">
            <v>0</v>
          </cell>
        </row>
        <row r="43">
          <cell r="K43">
            <v>0.33000000000000013</v>
          </cell>
          <cell r="L43">
            <v>3.5808093768763895E-4</v>
          </cell>
          <cell r="M43">
            <v>0</v>
          </cell>
        </row>
        <row r="44">
          <cell r="K44">
            <v>0.34000000000000014</v>
          </cell>
          <cell r="L44">
            <v>4.1469744448467943E-4</v>
          </cell>
          <cell r="M44">
            <v>0</v>
          </cell>
        </row>
        <row r="45">
          <cell r="K45">
            <v>0.35000000000000014</v>
          </cell>
          <cell r="L45">
            <v>4.7822626296556978E-4</v>
          </cell>
          <cell r="M45">
            <v>0</v>
          </cell>
        </row>
        <row r="46">
          <cell r="K46">
            <v>0.36000000000000015</v>
          </cell>
          <cell r="L46">
            <v>5.4927714959804807E-4</v>
          </cell>
          <cell r="M46">
            <v>0</v>
          </cell>
        </row>
        <row r="47">
          <cell r="K47">
            <v>0.37000000000000016</v>
          </cell>
          <cell r="L47">
            <v>6.2849418735111059E-4</v>
          </cell>
          <cell r="M47">
            <v>0</v>
          </cell>
        </row>
        <row r="48">
          <cell r="K48">
            <v>0.38000000000000017</v>
          </cell>
          <cell r="L48">
            <v>7.1655668411818173E-4</v>
          </cell>
          <cell r="M48">
            <v>0</v>
          </cell>
        </row>
        <row r="49">
          <cell r="K49">
            <v>0.39000000000000018</v>
          </cell>
          <cell r="L49">
            <v>8.1418006907309063E-4</v>
          </cell>
          <cell r="M49">
            <v>0</v>
          </cell>
        </row>
        <row r="50">
          <cell r="K50">
            <v>0.40000000000000019</v>
          </cell>
          <cell r="L50">
            <v>9.2211678701929734E-4</v>
          </cell>
          <cell r="M50">
            <v>0</v>
          </cell>
        </row>
        <row r="51">
          <cell r="K51">
            <v>0.4100000000000002</v>
          </cell>
          <cell r="L51">
            <v>1.0411571907895719E-3</v>
          </cell>
          <cell r="M51">
            <v>0</v>
          </cell>
        </row>
        <row r="52">
          <cell r="K52">
            <v>0.42000000000000021</v>
          </cell>
          <cell r="L52">
            <v>1.1721304317502065E-3</v>
          </cell>
          <cell r="M52">
            <v>0</v>
          </cell>
        </row>
        <row r="53">
          <cell r="K53">
            <v>0.43000000000000022</v>
          </cell>
          <cell r="L53">
            <v>1.3159053484610714E-3</v>
          </cell>
          <cell r="M53">
            <v>0</v>
          </cell>
        </row>
        <row r="54">
          <cell r="K54">
            <v>0.44000000000000022</v>
          </cell>
          <cell r="L54">
            <v>1.4733913535402172E-3</v>
          </cell>
          <cell r="M54">
            <v>0</v>
          </cell>
        </row>
        <row r="55">
          <cell r="K55">
            <v>0.45000000000000023</v>
          </cell>
          <cell r="L55">
            <v>1.6455393187792529E-3</v>
          </cell>
          <cell r="M55">
            <v>0</v>
          </cell>
        </row>
        <row r="56">
          <cell r="K56">
            <v>0.46000000000000024</v>
          </cell>
          <cell r="L56">
            <v>1.83334245855359E-3</v>
          </cell>
          <cell r="M56">
            <v>0</v>
          </cell>
        </row>
        <row r="57">
          <cell r="K57">
            <v>0.47000000000000025</v>
          </cell>
          <cell r="L57">
            <v>2.0378372115694597E-3</v>
          </cell>
          <cell r="M57">
            <v>0</v>
          </cell>
        </row>
        <row r="58">
          <cell r="K58">
            <v>0.48000000000000026</v>
          </cell>
          <cell r="L58">
            <v>2.2601041209877218E-3</v>
          </cell>
          <cell r="M58">
            <v>0</v>
          </cell>
        </row>
        <row r="59">
          <cell r="K59">
            <v>0.49000000000000027</v>
          </cell>
          <cell r="L59">
            <v>2.5012687129626872E-3</v>
          </cell>
          <cell r="M59">
            <v>0</v>
          </cell>
        </row>
        <row r="60">
          <cell r="K60">
            <v>0.50000000000000022</v>
          </cell>
          <cell r="L60">
            <v>2.7625023736323998E-3</v>
          </cell>
          <cell r="M60">
            <v>0</v>
          </cell>
        </row>
        <row r="61">
          <cell r="K61">
            <v>0.51000000000000023</v>
          </cell>
          <cell r="L61">
            <v>3.0450232245953822E-3</v>
          </cell>
          <cell r="M61">
            <v>0</v>
          </cell>
        </row>
        <row r="62">
          <cell r="K62">
            <v>0.52000000000000024</v>
          </cell>
          <cell r="L62">
            <v>3.350096996907183E-3</v>
          </cell>
          <cell r="M62">
            <v>0</v>
          </cell>
        </row>
        <row r="63">
          <cell r="K63">
            <v>0.53000000000000025</v>
          </cell>
          <cell r="L63">
            <v>3.6790379036288532E-3</v>
          </cell>
          <cell r="M63">
            <v>0</v>
          </cell>
        </row>
        <row r="64">
          <cell r="K64">
            <v>0.54000000000000026</v>
          </cell>
          <cell r="L64">
            <v>4.0332095109580565E-3</v>
          </cell>
          <cell r="M64">
            <v>0</v>
          </cell>
        </row>
        <row r="65">
          <cell r="K65">
            <v>0.55000000000000027</v>
          </cell>
          <cell r="L65">
            <v>4.4140256079722813E-3</v>
          </cell>
          <cell r="M65">
            <v>0</v>
          </cell>
        </row>
        <row r="66">
          <cell r="K66">
            <v>0.56000000000000028</v>
          </cell>
          <cell r="L66">
            <v>4.8229510750125828E-3</v>
          </cell>
          <cell r="M66">
            <v>0</v>
          </cell>
        </row>
        <row r="67">
          <cell r="K67">
            <v>0.57000000000000028</v>
          </cell>
          <cell r="L67">
            <v>5.2615027507350127E-3</v>
          </cell>
          <cell r="M67">
            <v>0</v>
          </cell>
        </row>
        <row r="68">
          <cell r="K68">
            <v>0.58000000000000029</v>
          </cell>
          <cell r="L68">
            <v>5.7312502978560161E-3</v>
          </cell>
          <cell r="M68">
            <v>0</v>
          </cell>
        </row>
        <row r="69">
          <cell r="K69">
            <v>0.5900000000000003</v>
          </cell>
          <cell r="L69">
            <v>6.23381706761705E-3</v>
          </cell>
          <cell r="M69">
            <v>0</v>
          </cell>
        </row>
        <row r="70">
          <cell r="K70">
            <v>0.60000000000000031</v>
          </cell>
          <cell r="L70">
            <v>6.7708809629926925E-3</v>
          </cell>
          <cell r="M70">
            <v>0</v>
          </cell>
        </row>
        <row r="71">
          <cell r="K71">
            <v>0.61000000000000032</v>
          </cell>
          <cell r="L71">
            <v>7.344175300665735E-3</v>
          </cell>
          <cell r="M71">
            <v>0</v>
          </cell>
        </row>
        <row r="72">
          <cell r="K72">
            <v>0.62000000000000033</v>
          </cell>
          <cell r="L72">
            <v>7.9554896717918683E-3</v>
          </cell>
          <cell r="M72">
            <v>0</v>
          </cell>
        </row>
        <row r="73">
          <cell r="K73">
            <v>0.63000000000000034</v>
          </cell>
          <cell r="L73">
            <v>8.6066708015757973E-3</v>
          </cell>
          <cell r="M73">
            <v>0</v>
          </cell>
        </row>
        <row r="74">
          <cell r="K74">
            <v>0.64000000000000035</v>
          </cell>
          <cell r="L74">
            <v>9.2996234076798603E-3</v>
          </cell>
          <cell r="M74">
            <v>0</v>
          </cell>
        </row>
        <row r="75">
          <cell r="K75">
            <v>0.65000000000000036</v>
          </cell>
          <cell r="L75">
            <v>1.00363110574856E-2</v>
          </cell>
          <cell r="M75">
            <v>0</v>
          </cell>
        </row>
        <row r="76">
          <cell r="K76">
            <v>0.66000000000000036</v>
          </cell>
          <cell r="L76">
            <v>1.0818757024227896E-2</v>
          </cell>
          <cell r="M76">
            <v>0</v>
          </cell>
        </row>
        <row r="77">
          <cell r="K77">
            <v>0.67000000000000037</v>
          </cell>
          <cell r="L77">
            <v>1.164904514202081E-2</v>
          </cell>
          <cell r="M77">
            <v>0</v>
          </cell>
        </row>
        <row r="78">
          <cell r="K78">
            <v>0.68000000000000038</v>
          </cell>
          <cell r="L78">
            <v>1.2529320659793553E-2</v>
          </cell>
          <cell r="M78">
            <v>0</v>
          </cell>
        </row>
        <row r="79">
          <cell r="K79">
            <v>0.69000000000000039</v>
          </cell>
          <cell r="L79">
            <v>1.3461791094154484E-2</v>
          </cell>
          <cell r="M79">
            <v>0</v>
          </cell>
        </row>
        <row r="80">
          <cell r="K80">
            <v>0.7000000000000004</v>
          </cell>
          <cell r="L80">
            <v>1.4448727081200376E-2</v>
          </cell>
          <cell r="M80">
            <v>0</v>
          </cell>
        </row>
        <row r="81">
          <cell r="K81">
            <v>0.71000000000000041</v>
          </cell>
          <cell r="L81">
            <v>1.5492463227287988E-2</v>
          </cell>
          <cell r="M81">
            <v>0</v>
          </cell>
        </row>
        <row r="82">
          <cell r="K82">
            <v>0.72000000000000042</v>
          </cell>
          <cell r="L82">
            <v>1.6595398958783779E-2</v>
          </cell>
          <cell r="M82">
            <v>0</v>
          </cell>
        </row>
        <row r="83">
          <cell r="K83">
            <v>0.73000000000000043</v>
          </cell>
          <cell r="L83">
            <v>1.7759999370808032E-2</v>
          </cell>
          <cell r="M83">
            <v>0</v>
          </cell>
        </row>
        <row r="84">
          <cell r="K84">
            <v>0.74000000000000044</v>
          </cell>
          <cell r="L84">
            <v>1.8988796074988469E-2</v>
          </cell>
          <cell r="M84">
            <v>0</v>
          </cell>
        </row>
        <row r="85">
          <cell r="K85">
            <v>0.75000000000000044</v>
          </cell>
          <cell r="L85">
            <v>2.0284388046238121E-2</v>
          </cell>
          <cell r="M85">
            <v>0</v>
          </cell>
        </row>
        <row r="86">
          <cell r="K86">
            <v>0.76000000000000045</v>
          </cell>
          <cell r="L86">
            <v>2.1649442468572477E-2</v>
          </cell>
          <cell r="M86">
            <v>0</v>
          </cell>
        </row>
        <row r="87">
          <cell r="K87">
            <v>0.77000000000000046</v>
          </cell>
          <cell r="L87">
            <v>2.3086695579979156E-2</v>
          </cell>
          <cell r="M87">
            <v>0</v>
          </cell>
        </row>
        <row r="88">
          <cell r="K88">
            <v>0.78000000000000047</v>
          </cell>
          <cell r="L88">
            <v>2.4598953516354452E-2</v>
          </cell>
          <cell r="M88">
            <v>0</v>
          </cell>
        </row>
        <row r="89">
          <cell r="K89">
            <v>0.79000000000000048</v>
          </cell>
          <cell r="L89">
            <v>2.6189093154519814E-2</v>
          </cell>
          <cell r="M89">
            <v>0</v>
          </cell>
        </row>
        <row r="90">
          <cell r="K90">
            <v>0.80000000000000049</v>
          </cell>
          <cell r="L90">
            <v>2.786006295433097E-2</v>
          </cell>
          <cell r="M90">
            <v>0</v>
          </cell>
        </row>
        <row r="91">
          <cell r="K91">
            <v>0.8100000000000005</v>
          </cell>
          <cell r="L91">
            <v>2.9614883799892772E-2</v>
          </cell>
          <cell r="M91">
            <v>0</v>
          </cell>
        </row>
        <row r="92">
          <cell r="K92">
            <v>0.82000000000000051</v>
          </cell>
          <cell r="L92">
            <v>3.14566498398915E-2</v>
          </cell>
          <cell r="M92">
            <v>0</v>
          </cell>
        </row>
        <row r="93">
          <cell r="K93">
            <v>0.83000000000000052</v>
          </cell>
          <cell r="L93">
            <v>3.3388529327056965E-2</v>
          </cell>
          <cell r="M93">
            <v>0</v>
          </cell>
        </row>
        <row r="94">
          <cell r="K94">
            <v>0.84000000000000052</v>
          </cell>
          <cell r="L94">
            <v>3.5413765456765799E-2</v>
          </cell>
          <cell r="M94">
            <v>0</v>
          </cell>
        </row>
        <row r="95">
          <cell r="K95">
            <v>0.85000000000000053</v>
          </cell>
          <cell r="L95">
            <v>3.7535677204797314E-2</v>
          </cell>
          <cell r="M95">
            <v>0</v>
          </cell>
        </row>
        <row r="96">
          <cell r="K96">
            <v>0.86000000000000054</v>
          </cell>
          <cell r="L96">
            <v>3.9757660164253208E-2</v>
          </cell>
          <cell r="M96">
            <v>0</v>
          </cell>
        </row>
        <row r="97">
          <cell r="K97">
            <v>0.87000000000000055</v>
          </cell>
          <cell r="L97">
            <v>4.2083187381651462E-2</v>
          </cell>
          <cell r="M97">
            <v>0</v>
          </cell>
        </row>
        <row r="98">
          <cell r="K98">
            <v>0.88000000000000056</v>
          </cell>
          <cell r="L98">
            <v>4.4515810192205386E-2</v>
          </cell>
          <cell r="M98">
            <v>0</v>
          </cell>
        </row>
        <row r="99">
          <cell r="K99">
            <v>0.89000000000000057</v>
          </cell>
          <cell r="L99">
            <v>4.7059159054297806E-2</v>
          </cell>
          <cell r="M99">
            <v>0</v>
          </cell>
        </row>
        <row r="100">
          <cell r="K100">
            <v>0.90000000000000058</v>
          </cell>
          <cell r="L100">
            <v>4.971694438316028E-2</v>
          </cell>
          <cell r="M100">
            <v>0</v>
          </cell>
        </row>
        <row r="101">
          <cell r="K101">
            <v>0.91000000000000059</v>
          </cell>
          <cell r="L101">
            <v>5.2492957383767781E-2</v>
          </cell>
          <cell r="M101">
            <v>0</v>
          </cell>
        </row>
        <row r="102">
          <cell r="K102">
            <v>0.9200000000000006</v>
          </cell>
          <cell r="L102">
            <v>5.5391070882957472E-2</v>
          </cell>
          <cell r="M102">
            <v>0</v>
          </cell>
        </row>
        <row r="103">
          <cell r="K103">
            <v>0.9300000000000006</v>
          </cell>
          <cell r="L103">
            <v>5.8415240160781576E-2</v>
          </cell>
          <cell r="M103">
            <v>0</v>
          </cell>
        </row>
        <row r="104">
          <cell r="K104">
            <v>0.94000000000000061</v>
          </cell>
          <cell r="L104">
            <v>6.156950378110318E-2</v>
          </cell>
          <cell r="M104">
            <v>0</v>
          </cell>
        </row>
        <row r="105">
          <cell r="K105">
            <v>0.95000000000000062</v>
          </cell>
          <cell r="L105">
            <v>6.4857984421444012E-2</v>
          </cell>
          <cell r="M105">
            <v>0</v>
          </cell>
        </row>
        <row r="106">
          <cell r="K106">
            <v>0.96000000000000063</v>
          </cell>
          <cell r="L106">
            <v>6.8284889702092635E-2</v>
          </cell>
          <cell r="M106">
            <v>0</v>
          </cell>
        </row>
        <row r="107">
          <cell r="K107">
            <v>0.97000000000000064</v>
          </cell>
          <cell r="L107">
            <v>7.1854513014482022E-2</v>
          </cell>
          <cell r="M107">
            <v>0</v>
          </cell>
        </row>
        <row r="108">
          <cell r="K108">
            <v>0.98000000000000065</v>
          </cell>
          <cell r="L108">
            <v>7.5571234348844427E-2</v>
          </cell>
          <cell r="M108">
            <v>0</v>
          </cell>
        </row>
        <row r="109">
          <cell r="K109">
            <v>0.99000000000000066</v>
          </cell>
          <cell r="L109">
            <v>7.9439521121151796E-2</v>
          </cell>
          <cell r="M109">
            <v>0</v>
          </cell>
        </row>
        <row r="110">
          <cell r="K110">
            <v>1.0000000000000007</v>
          </cell>
          <cell r="L110">
            <v>8.346392899935004E-2</v>
          </cell>
          <cell r="M110">
            <v>6.6613381477509392E-16</v>
          </cell>
        </row>
        <row r="111">
          <cell r="K111">
            <v>1.0100000000000007</v>
          </cell>
          <cell r="L111">
            <v>8.7649102728894035E-2</v>
          </cell>
          <cell r="M111">
            <v>1.0000000000000675E-2</v>
          </cell>
        </row>
        <row r="112">
          <cell r="K112">
            <v>1.0200000000000007</v>
          </cell>
          <cell r="L112">
            <v>9.1999776957592552E-2</v>
          </cell>
          <cell r="M112">
            <v>2.0000000000000684E-2</v>
          </cell>
        </row>
        <row r="113">
          <cell r="K113">
            <v>1.0300000000000007</v>
          </cell>
          <cell r="L113">
            <v>9.6520777059768983E-2</v>
          </cell>
          <cell r="M113">
            <v>3.0000000000000693E-2</v>
          </cell>
        </row>
        <row r="114">
          <cell r="K114">
            <v>1.0400000000000007</v>
          </cell>
          <cell r="L114">
            <v>0.10121701995974611</v>
          </cell>
          <cell r="M114">
            <v>4.0000000000000702E-2</v>
          </cell>
        </row>
        <row r="115">
          <cell r="K115">
            <v>1.0500000000000007</v>
          </cell>
          <cell r="L115">
            <v>0.1060935149546619</v>
          </cell>
          <cell r="M115">
            <v>5.0000000000000711E-2</v>
          </cell>
        </row>
        <row r="116">
          <cell r="K116">
            <v>1.0600000000000007</v>
          </cell>
          <cell r="L116">
            <v>0.11115536453662314</v>
          </cell>
          <cell r="M116">
            <v>6.0000000000000719E-2</v>
          </cell>
        </row>
        <row r="117">
          <cell r="K117">
            <v>1.0700000000000007</v>
          </cell>
          <cell r="L117">
            <v>0.11640776521420444</v>
          </cell>
          <cell r="M117">
            <v>7.0000000000000728E-2</v>
          </cell>
        </row>
        <row r="118">
          <cell r="K118">
            <v>1.0800000000000007</v>
          </cell>
          <cell r="L118">
            <v>0.12185600833329836</v>
          </cell>
          <cell r="M118">
            <v>8.0000000000000737E-2</v>
          </cell>
        </row>
        <row r="119">
          <cell r="K119">
            <v>1.0900000000000007</v>
          </cell>
          <cell r="L119">
            <v>0.12750548089732422</v>
          </cell>
          <cell r="M119">
            <v>9.0000000000000746E-2</v>
          </cell>
        </row>
        <row r="120">
          <cell r="K120">
            <v>1.1000000000000008</v>
          </cell>
          <cell r="L120">
            <v>0.13336166638680153</v>
          </cell>
          <cell r="M120">
            <v>0.10000000000000075</v>
          </cell>
        </row>
        <row r="121">
          <cell r="K121">
            <v>1.1100000000000008</v>
          </cell>
          <cell r="L121">
            <v>0.13943014557829436</v>
          </cell>
          <cell r="M121">
            <v>0.11000000000000076</v>
          </cell>
        </row>
        <row r="122">
          <cell r="K122">
            <v>1.1200000000000008</v>
          </cell>
          <cell r="L122">
            <v>0.14571659736273393</v>
          </cell>
          <cell r="M122">
            <v>0.12000000000000077</v>
          </cell>
        </row>
        <row r="123">
          <cell r="K123">
            <v>1.1300000000000008</v>
          </cell>
          <cell r="L123">
            <v>0.15222679956312349</v>
          </cell>
          <cell r="M123">
            <v>0.13000000000000078</v>
          </cell>
        </row>
        <row r="124">
          <cell r="K124">
            <v>1.1400000000000008</v>
          </cell>
          <cell r="L124">
            <v>0.15896662975163392</v>
          </cell>
          <cell r="M124">
            <v>0.14000000000000079</v>
          </cell>
        </row>
        <row r="125">
          <cell r="K125">
            <v>1.1500000000000008</v>
          </cell>
          <cell r="L125">
            <v>0.16594206606609402</v>
          </cell>
          <cell r="M125">
            <v>0.1500000000000008</v>
          </cell>
        </row>
        <row r="126">
          <cell r="K126">
            <v>1.1600000000000008</v>
          </cell>
          <cell r="L126">
            <v>0.17315918802588195</v>
          </cell>
          <cell r="M126">
            <v>0.16000000000000081</v>
          </cell>
        </row>
        <row r="127">
          <cell r="K127">
            <v>1.1700000000000008</v>
          </cell>
          <cell r="L127">
            <v>0.18062417734722469</v>
          </cell>
          <cell r="M127">
            <v>0.17000000000000082</v>
          </cell>
        </row>
        <row r="128">
          <cell r="K128">
            <v>1.1800000000000008</v>
          </cell>
          <cell r="L128">
            <v>0.18834331875790838</v>
          </cell>
          <cell r="M128">
            <v>0.18000000000000083</v>
          </cell>
        </row>
        <row r="129">
          <cell r="K129">
            <v>1.1900000000000008</v>
          </cell>
          <cell r="L129">
            <v>0.19632300081140802</v>
          </cell>
          <cell r="M129">
            <v>0.19000000000000083</v>
          </cell>
        </row>
        <row r="130">
          <cell r="K130">
            <v>1.2000000000000008</v>
          </cell>
          <cell r="L130">
            <v>0.20456971670043977</v>
          </cell>
          <cell r="M130">
            <v>0.20000000000000084</v>
          </cell>
        </row>
        <row r="131">
          <cell r="K131">
            <v>1.2100000000000009</v>
          </cell>
          <cell r="L131">
            <v>0.21309006506994227</v>
          </cell>
          <cell r="M131">
            <v>0.21000000000000085</v>
          </cell>
        </row>
        <row r="132">
          <cell r="K132">
            <v>1.2200000000000009</v>
          </cell>
          <cell r="L132">
            <v>0.2218907508294912</v>
          </cell>
          <cell r="M132">
            <v>0.22000000000000086</v>
          </cell>
        </row>
        <row r="133">
          <cell r="K133">
            <v>1.2300000000000009</v>
          </cell>
          <cell r="L133">
            <v>0.23097858596515408</v>
          </cell>
          <cell r="M133">
            <v>0.23000000000000087</v>
          </cell>
        </row>
        <row r="134">
          <cell r="K134">
            <v>1.2400000000000009</v>
          </cell>
          <cell r="L134">
            <v>0.24036049035078766</v>
          </cell>
          <cell r="M134">
            <v>0.24000000000000088</v>
          </cell>
        </row>
        <row r="135">
          <cell r="K135">
            <v>1.2500000000000009</v>
          </cell>
          <cell r="L135">
            <v>0.25004349255878505</v>
          </cell>
          <cell r="M135">
            <v>0.25000000000000089</v>
          </cell>
        </row>
        <row r="136">
          <cell r="K136">
            <v>1.2600000000000009</v>
          </cell>
          <cell r="L136">
            <v>0.2600000000000009</v>
          </cell>
          <cell r="M136">
            <v>0.2600000000000009</v>
          </cell>
        </row>
        <row r="137">
          <cell r="K137">
            <v>1.2700000000000009</v>
          </cell>
          <cell r="L137">
            <v>0.27000000000000091</v>
          </cell>
          <cell r="M137">
            <v>0.27000000000000091</v>
          </cell>
        </row>
        <row r="138">
          <cell r="K138">
            <v>1.2800000000000009</v>
          </cell>
          <cell r="L138">
            <v>0.28000000000000091</v>
          </cell>
          <cell r="M138">
            <v>0.28000000000000091</v>
          </cell>
        </row>
        <row r="139">
          <cell r="K139">
            <v>1.2900000000000009</v>
          </cell>
          <cell r="L139">
            <v>0.29000000000000092</v>
          </cell>
          <cell r="M139">
            <v>0.29000000000000092</v>
          </cell>
        </row>
        <row r="140">
          <cell r="K140">
            <v>1.3000000000000009</v>
          </cell>
          <cell r="L140">
            <v>0.30000000000000093</v>
          </cell>
          <cell r="M140">
            <v>0.30000000000000093</v>
          </cell>
        </row>
        <row r="141">
          <cell r="K141">
            <v>1.3100000000000009</v>
          </cell>
          <cell r="L141">
            <v>0.31000000000000094</v>
          </cell>
          <cell r="M141">
            <v>0.31000000000000094</v>
          </cell>
        </row>
        <row r="142">
          <cell r="K142">
            <v>1.320000000000001</v>
          </cell>
          <cell r="L142">
            <v>0.32000000000000095</v>
          </cell>
          <cell r="M142">
            <v>0.32000000000000095</v>
          </cell>
        </row>
        <row r="143">
          <cell r="K143">
            <v>1.330000000000001</v>
          </cell>
          <cell r="L143">
            <v>0.33000000000000096</v>
          </cell>
          <cell r="M143">
            <v>0.33000000000000096</v>
          </cell>
        </row>
        <row r="144">
          <cell r="K144">
            <v>1.340000000000001</v>
          </cell>
          <cell r="L144">
            <v>0.34000000000000097</v>
          </cell>
          <cell r="M144">
            <v>0.34000000000000097</v>
          </cell>
        </row>
        <row r="145">
          <cell r="K145">
            <v>1.350000000000001</v>
          </cell>
          <cell r="L145">
            <v>0.35000000000000098</v>
          </cell>
          <cell r="M145">
            <v>0.35000000000000098</v>
          </cell>
        </row>
        <row r="146">
          <cell r="K146">
            <v>1.360000000000001</v>
          </cell>
          <cell r="L146">
            <v>0.36000000000000099</v>
          </cell>
          <cell r="M146">
            <v>0.36000000000000099</v>
          </cell>
        </row>
        <row r="147">
          <cell r="K147">
            <v>1.370000000000001</v>
          </cell>
          <cell r="L147">
            <v>0.37000000000000099</v>
          </cell>
          <cell r="M147">
            <v>0.37000000000000099</v>
          </cell>
        </row>
        <row r="148">
          <cell r="K148">
            <v>1.380000000000001</v>
          </cell>
          <cell r="L148">
            <v>0.380000000000001</v>
          </cell>
          <cell r="M148">
            <v>0.380000000000001</v>
          </cell>
        </row>
        <row r="149">
          <cell r="K149">
            <v>1.390000000000001</v>
          </cell>
          <cell r="L149">
            <v>0.39000000000000101</v>
          </cell>
          <cell r="M149">
            <v>0.39000000000000101</v>
          </cell>
        </row>
        <row r="150">
          <cell r="K150">
            <v>1.400000000000001</v>
          </cell>
          <cell r="L150">
            <v>0.40000000000000102</v>
          </cell>
          <cell r="M150">
            <v>0.40000000000000102</v>
          </cell>
        </row>
        <row r="151">
          <cell r="K151">
            <v>1.410000000000001</v>
          </cell>
          <cell r="L151">
            <v>0.41000000000000103</v>
          </cell>
          <cell r="M151">
            <v>0.41000000000000103</v>
          </cell>
        </row>
        <row r="152">
          <cell r="K152">
            <v>1.420000000000001</v>
          </cell>
          <cell r="L152">
            <v>0.42000000000000104</v>
          </cell>
          <cell r="M152">
            <v>0.42000000000000104</v>
          </cell>
        </row>
        <row r="153">
          <cell r="K153">
            <v>1.430000000000001</v>
          </cell>
          <cell r="L153">
            <v>0.43000000000000105</v>
          </cell>
          <cell r="M153">
            <v>0.43000000000000105</v>
          </cell>
        </row>
        <row r="154">
          <cell r="K154">
            <v>1.4400000000000011</v>
          </cell>
          <cell r="L154">
            <v>0.44000000000000106</v>
          </cell>
          <cell r="M154">
            <v>0.44000000000000106</v>
          </cell>
        </row>
        <row r="155">
          <cell r="K155">
            <v>1.4500000000000011</v>
          </cell>
          <cell r="L155">
            <v>0.45000000000000107</v>
          </cell>
          <cell r="M155">
            <v>0.45000000000000107</v>
          </cell>
        </row>
        <row r="156">
          <cell r="K156">
            <v>1.4600000000000011</v>
          </cell>
          <cell r="L156">
            <v>0.46000000000000107</v>
          </cell>
          <cell r="M156">
            <v>0.46000000000000107</v>
          </cell>
        </row>
        <row r="157">
          <cell r="K157">
            <v>1.4700000000000011</v>
          </cell>
          <cell r="L157">
            <v>0.47000000000000108</v>
          </cell>
          <cell r="M157">
            <v>0.47000000000000108</v>
          </cell>
        </row>
        <row r="158">
          <cell r="K158">
            <v>1.4800000000000011</v>
          </cell>
          <cell r="L158">
            <v>0.48000000000000109</v>
          </cell>
          <cell r="M158">
            <v>0.48000000000000109</v>
          </cell>
        </row>
        <row r="159">
          <cell r="K159">
            <v>1.4900000000000011</v>
          </cell>
          <cell r="L159">
            <v>0.4900000000000011</v>
          </cell>
          <cell r="M159">
            <v>0.4900000000000011</v>
          </cell>
        </row>
        <row r="160">
          <cell r="K160">
            <v>1.5000000000000011</v>
          </cell>
          <cell r="L160">
            <v>0.50000000000000111</v>
          </cell>
          <cell r="M160">
            <v>0.50000000000000111</v>
          </cell>
        </row>
        <row r="161">
          <cell r="K161">
            <v>1.5100000000000011</v>
          </cell>
          <cell r="L161">
            <v>0.51000000000000112</v>
          </cell>
          <cell r="M161">
            <v>0.51000000000000112</v>
          </cell>
        </row>
        <row r="162">
          <cell r="K162">
            <v>1.5200000000000011</v>
          </cell>
          <cell r="L162">
            <v>0.52000000000000113</v>
          </cell>
          <cell r="M162">
            <v>0.52000000000000113</v>
          </cell>
        </row>
        <row r="163">
          <cell r="K163">
            <v>1.5300000000000011</v>
          </cell>
          <cell r="L163">
            <v>0.53000000000000114</v>
          </cell>
          <cell r="M163">
            <v>0.53000000000000114</v>
          </cell>
        </row>
        <row r="164">
          <cell r="K164">
            <v>1.5400000000000011</v>
          </cell>
          <cell r="L164">
            <v>0.54000000000000115</v>
          </cell>
          <cell r="M164">
            <v>0.54000000000000115</v>
          </cell>
        </row>
        <row r="165">
          <cell r="K165">
            <v>1.5500000000000012</v>
          </cell>
          <cell r="L165">
            <v>0.55000000000000115</v>
          </cell>
          <cell r="M165">
            <v>0.55000000000000115</v>
          </cell>
        </row>
        <row r="166">
          <cell r="K166">
            <v>1.5600000000000012</v>
          </cell>
          <cell r="L166">
            <v>0.56000000000000116</v>
          </cell>
          <cell r="M166">
            <v>0.56000000000000116</v>
          </cell>
        </row>
        <row r="167">
          <cell r="K167">
            <v>1.5700000000000012</v>
          </cell>
          <cell r="L167">
            <v>0.57000000000000117</v>
          </cell>
          <cell r="M167">
            <v>0.57000000000000117</v>
          </cell>
        </row>
        <row r="168">
          <cell r="K168">
            <v>1.5800000000000012</v>
          </cell>
          <cell r="L168">
            <v>0.58000000000000118</v>
          </cell>
          <cell r="M168">
            <v>0.58000000000000118</v>
          </cell>
        </row>
        <row r="169">
          <cell r="K169">
            <v>1.5900000000000012</v>
          </cell>
          <cell r="L169">
            <v>0.59000000000000119</v>
          </cell>
          <cell r="M169">
            <v>0.59000000000000119</v>
          </cell>
        </row>
        <row r="170">
          <cell r="K170">
            <v>1.6000000000000012</v>
          </cell>
          <cell r="L170">
            <v>0.6000000000000012</v>
          </cell>
          <cell r="M170">
            <v>0.6000000000000012</v>
          </cell>
        </row>
        <row r="171">
          <cell r="K171">
            <v>1.6100000000000012</v>
          </cell>
          <cell r="L171">
            <v>0.61000000000000121</v>
          </cell>
          <cell r="M171">
            <v>0.61000000000000121</v>
          </cell>
        </row>
        <row r="172">
          <cell r="K172">
            <v>1.6200000000000012</v>
          </cell>
          <cell r="L172">
            <v>0.62000000000000122</v>
          </cell>
          <cell r="M172">
            <v>0.62000000000000122</v>
          </cell>
        </row>
        <row r="173">
          <cell r="K173">
            <v>1.6300000000000012</v>
          </cell>
          <cell r="L173">
            <v>0.63000000000000123</v>
          </cell>
          <cell r="M173">
            <v>0.63000000000000123</v>
          </cell>
        </row>
        <row r="174">
          <cell r="K174">
            <v>1.6400000000000012</v>
          </cell>
          <cell r="L174">
            <v>0.64000000000000123</v>
          </cell>
          <cell r="M174">
            <v>0.64000000000000123</v>
          </cell>
        </row>
        <row r="175">
          <cell r="K175">
            <v>1.6500000000000012</v>
          </cell>
          <cell r="L175">
            <v>0.65000000000000124</v>
          </cell>
          <cell r="M175">
            <v>0.65000000000000124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om-SamMcK (2)"/>
      <sheetName val="Binom-SamMcK"/>
      <sheetName val="BinomExmpl (3)"/>
      <sheetName val="BinomExmpl (2)"/>
      <sheetName val="BinomExmpl"/>
      <sheetName val="DTA&amp;realoptions"/>
      <sheetName val="Black-Scholes"/>
      <sheetName val="Sam-McK Formula"/>
      <sheetName val="Charts"/>
      <sheetName val="Comparis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tabSelected="1" workbookViewId="0">
      <selection activeCell="M9" sqref="M9"/>
    </sheetView>
  </sheetViews>
  <sheetFormatPr defaultRowHeight="15"/>
  <sheetData>
    <row r="1" spans="1:1">
      <c r="A1" t="s">
        <v>189</v>
      </c>
    </row>
    <row r="2" spans="1:1">
      <c r="A2" t="s">
        <v>174</v>
      </c>
    </row>
    <row r="4" spans="1:1">
      <c r="A4" t="s">
        <v>177</v>
      </c>
    </row>
    <row r="6" spans="1:1">
      <c r="A6" t="s">
        <v>178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25"/>
  <sheetViews>
    <sheetView zoomScale="90" workbookViewId="0"/>
  </sheetViews>
  <sheetFormatPr defaultRowHeight="15"/>
  <cols>
    <col min="1" max="1" width="25.33203125" customWidth="1"/>
    <col min="2" max="2" width="11.5546875" customWidth="1"/>
    <col min="3" max="3" width="10.109375" customWidth="1"/>
    <col min="4" max="4" width="9" bestFit="1" customWidth="1"/>
    <col min="6" max="6" width="9.88671875" customWidth="1"/>
    <col min="15" max="15" width="8.88671875" style="4"/>
  </cols>
  <sheetData>
    <row r="1" spans="1:38" ht="16.5" thickBot="1">
      <c r="A1" s="1" t="s">
        <v>104</v>
      </c>
      <c r="AI1" s="4"/>
      <c r="AJ1" s="4"/>
      <c r="AK1" s="4"/>
      <c r="AL1" s="4"/>
    </row>
    <row r="2" spans="1:38">
      <c r="A2" s="5" t="s">
        <v>1</v>
      </c>
      <c r="B2" s="6"/>
      <c r="C2" s="7" t="s">
        <v>2</v>
      </c>
      <c r="D2" s="8"/>
      <c r="E2" s="76"/>
      <c r="F2" s="77"/>
      <c r="G2" s="77"/>
      <c r="H2" s="8"/>
      <c r="AI2" s="4"/>
      <c r="AJ2" s="4"/>
      <c r="AK2" s="4"/>
      <c r="AL2" s="4"/>
    </row>
    <row r="3" spans="1:38">
      <c r="A3" s="9" t="s">
        <v>49</v>
      </c>
      <c r="B3" s="10">
        <v>1</v>
      </c>
      <c r="C3" s="11"/>
      <c r="D3" s="12"/>
      <c r="E3" s="11"/>
      <c r="F3" s="78"/>
      <c r="G3" s="79" t="s">
        <v>105</v>
      </c>
      <c r="H3" s="80" t="s">
        <v>106</v>
      </c>
      <c r="AI3" s="4"/>
      <c r="AJ3" s="4"/>
      <c r="AK3" s="4"/>
      <c r="AL3" s="4"/>
    </row>
    <row r="4" spans="1:38">
      <c r="A4" s="9" t="s">
        <v>3</v>
      </c>
      <c r="B4" s="14">
        <v>0.03</v>
      </c>
      <c r="C4" s="11" t="s">
        <v>4</v>
      </c>
      <c r="D4" s="15">
        <f>B4*B$3</f>
        <v>0.03</v>
      </c>
      <c r="E4" s="11"/>
      <c r="F4" s="79" t="s">
        <v>107</v>
      </c>
      <c r="G4" s="81">
        <f>D11*((1+D6)*C21-B21)/B21+(1-D11)*((1+D6)*C22-B21)/B21</f>
        <v>9.0000000000000122E-2</v>
      </c>
      <c r="H4" s="15">
        <f>D11*(MAX(0,C21-C31)-B38)/B38+(1-D11)*(MAX(0,C22-C32)-B38)/B38</f>
        <v>0.34423728813559296</v>
      </c>
      <c r="AC4" s="16"/>
      <c r="AD4" s="16"/>
      <c r="AE4" s="16"/>
      <c r="AF4" s="16"/>
      <c r="AG4" s="16"/>
      <c r="AH4" s="16"/>
      <c r="AI4" s="4"/>
      <c r="AJ4" s="4"/>
      <c r="AK4" s="4"/>
      <c r="AL4" s="4"/>
    </row>
    <row r="5" spans="1:38">
      <c r="A5" s="9" t="s">
        <v>5</v>
      </c>
      <c r="B5" s="14">
        <v>0.09</v>
      </c>
      <c r="C5" s="11" t="s">
        <v>6</v>
      </c>
      <c r="D5" s="15">
        <f>B5*B$3</f>
        <v>0.09</v>
      </c>
      <c r="E5" s="11"/>
      <c r="F5" s="79" t="s">
        <v>108</v>
      </c>
      <c r="G5" s="81">
        <f>((1+D6)*C21-B21)/B21</f>
        <v>0.2</v>
      </c>
      <c r="H5" s="15">
        <f>(MAX(0,C21-C31)-B38)/B38</f>
        <v>0.92033898305084638</v>
      </c>
      <c r="AC5" s="16"/>
      <c r="AD5" s="16"/>
      <c r="AE5" s="16"/>
      <c r="AF5" s="16"/>
      <c r="AG5" s="16"/>
      <c r="AH5" s="16"/>
      <c r="AI5" s="4"/>
      <c r="AJ5" s="4"/>
      <c r="AK5" s="4"/>
      <c r="AL5" s="4"/>
    </row>
    <row r="6" spans="1:38">
      <c r="A6" s="9" t="s">
        <v>8</v>
      </c>
      <c r="B6" s="14">
        <v>0.06</v>
      </c>
      <c r="C6" s="11" t="s">
        <v>9</v>
      </c>
      <c r="D6" s="15">
        <f>B6*B$3</f>
        <v>0.06</v>
      </c>
      <c r="E6" s="11"/>
      <c r="F6" s="79" t="s">
        <v>109</v>
      </c>
      <c r="G6" s="81">
        <f>((1+D6)*C22-B21)/B21</f>
        <v>-0.16666666666666657</v>
      </c>
      <c r="H6" s="15">
        <f>(MAX(0,C22-C32)-B38)/B38</f>
        <v>-1</v>
      </c>
      <c r="AC6" s="16"/>
      <c r="AD6" s="16"/>
      <c r="AE6" s="16"/>
      <c r="AF6" s="16"/>
      <c r="AG6" s="16"/>
      <c r="AH6" s="16"/>
      <c r="AI6" s="4"/>
      <c r="AJ6" s="4"/>
      <c r="AK6" s="4"/>
      <c r="AL6" s="4"/>
    </row>
    <row r="7" spans="1:38">
      <c r="A7" s="9" t="s">
        <v>10</v>
      </c>
      <c r="B7" s="14">
        <v>0.02</v>
      </c>
      <c r="C7" s="11" t="s">
        <v>11</v>
      </c>
      <c r="D7" s="15">
        <f>B7*B$3</f>
        <v>0.02</v>
      </c>
      <c r="E7" s="11"/>
      <c r="F7" s="79" t="s">
        <v>110</v>
      </c>
      <c r="G7" s="81">
        <f>SQRT(D$11*(G5-G4)^2+(1-D$11)*(G6-G4)^2)</f>
        <v>0.16802777548171405</v>
      </c>
      <c r="H7" s="15">
        <f>SQRT(D$11*(H5-H4)^2+(1-D$11)*(H6-H4)^2)</f>
        <v>0.88000987498050198</v>
      </c>
      <c r="AC7" s="16"/>
      <c r="AD7" s="16"/>
      <c r="AE7" s="16"/>
      <c r="AF7" s="16"/>
      <c r="AG7" s="16"/>
      <c r="AH7" s="16"/>
      <c r="AI7" s="4"/>
      <c r="AJ7" s="4"/>
      <c r="AK7" s="4"/>
      <c r="AL7" s="4"/>
    </row>
    <row r="8" spans="1:38">
      <c r="A8" s="9"/>
      <c r="B8" s="17"/>
      <c r="C8" s="11" t="s">
        <v>16</v>
      </c>
      <c r="D8" s="15">
        <f>(1+D5)/(1+D6)-1</f>
        <v>2.8301886792452935E-2</v>
      </c>
      <c r="E8" s="11"/>
      <c r="F8" s="78"/>
      <c r="G8" s="78" t="s">
        <v>111</v>
      </c>
      <c r="H8" s="12"/>
      <c r="AC8" s="16"/>
      <c r="AD8" s="16"/>
      <c r="AE8" s="16"/>
      <c r="AF8" s="16"/>
      <c r="AG8" s="16"/>
      <c r="AH8" s="16"/>
      <c r="AI8" s="4"/>
      <c r="AJ8" s="4"/>
      <c r="AK8" s="4"/>
      <c r="AL8" s="4"/>
    </row>
    <row r="9" spans="1:38">
      <c r="A9" s="9" t="s">
        <v>19</v>
      </c>
      <c r="B9" s="18">
        <v>0.2</v>
      </c>
      <c r="C9" s="11" t="s">
        <v>20</v>
      </c>
      <c r="D9" s="15">
        <f>B9*SQRT(B$3)</f>
        <v>0.2</v>
      </c>
      <c r="E9" s="11"/>
      <c r="F9" s="79" t="s">
        <v>112</v>
      </c>
      <c r="G9" s="78">
        <f>H7/G7</f>
        <v>5.2372881355932179</v>
      </c>
      <c r="H9" s="12"/>
      <c r="AC9" s="16"/>
      <c r="AD9" s="16"/>
      <c r="AE9" s="16"/>
      <c r="AF9" s="16"/>
      <c r="AG9" s="16"/>
      <c r="AH9" s="16"/>
      <c r="AI9" s="4"/>
      <c r="AJ9" s="4"/>
      <c r="AK9" s="4"/>
      <c r="AL9" s="4"/>
    </row>
    <row r="10" spans="1:38">
      <c r="A10" s="9" t="s">
        <v>23</v>
      </c>
      <c r="B10" s="20">
        <v>100</v>
      </c>
      <c r="C10" s="11" t="s">
        <v>24</v>
      </c>
      <c r="D10" s="15">
        <f>(1+D4)/(1+D7)-1</f>
        <v>9.8039215686274161E-3</v>
      </c>
      <c r="E10" s="11"/>
      <c r="F10" s="82" t="s">
        <v>113</v>
      </c>
      <c r="G10" s="78">
        <f>(H4-D4)/(G4-D4)</f>
        <v>5.2372881355932046</v>
      </c>
      <c r="H10" s="12"/>
      <c r="AC10" s="16"/>
      <c r="AD10" s="16"/>
      <c r="AE10" s="16"/>
      <c r="AF10" s="16"/>
      <c r="AG10" s="16"/>
      <c r="AH10" s="16"/>
      <c r="AI10" s="4"/>
      <c r="AJ10" s="4"/>
      <c r="AK10" s="4"/>
      <c r="AL10" s="4"/>
    </row>
    <row r="11" spans="1:38">
      <c r="A11" s="9" t="s">
        <v>26</v>
      </c>
      <c r="B11" s="20">
        <f>90/1.02</f>
        <v>88.235294117647058</v>
      </c>
      <c r="C11" s="11" t="s">
        <v>27</v>
      </c>
      <c r="D11" s="21">
        <f>((1+D5)-1/(1+D9))/((1+D9)-1/(1+D9))</f>
        <v>0.70000000000000029</v>
      </c>
      <c r="E11" s="11"/>
      <c r="F11" s="79" t="s">
        <v>114</v>
      </c>
      <c r="G11" s="78">
        <f>(H5-H6)/(G5-G6)</f>
        <v>5.2372881355932188</v>
      </c>
      <c r="H11" s="83"/>
      <c r="AC11" s="16"/>
      <c r="AD11" s="16"/>
      <c r="AE11" s="16"/>
      <c r="AF11" s="16"/>
      <c r="AG11" s="16"/>
      <c r="AH11" s="16"/>
      <c r="AI11" s="4"/>
      <c r="AJ11" s="4"/>
      <c r="AK11" s="4"/>
      <c r="AL11" s="4"/>
    </row>
    <row r="12" spans="1:38" s="16" customFormat="1">
      <c r="A12" s="9"/>
      <c r="B12" s="17"/>
      <c r="C12" s="22" t="s">
        <v>30</v>
      </c>
      <c r="D12" s="23">
        <f>C21/B24</f>
        <v>1.2000000000000002</v>
      </c>
      <c r="E12" s="11"/>
      <c r="F12" s="78"/>
      <c r="G12" s="78"/>
      <c r="H12" s="83"/>
      <c r="I12"/>
      <c r="J12" s="4"/>
      <c r="K12" s="4"/>
      <c r="L12" s="4"/>
      <c r="M12" s="4"/>
      <c r="N12" s="4"/>
      <c r="O12" s="4"/>
      <c r="P12" s="4"/>
      <c r="Q12" s="4"/>
      <c r="R12" s="4"/>
      <c r="S12" s="4"/>
      <c r="T12" s="24"/>
      <c r="U12" s="4"/>
      <c r="V12" s="4"/>
      <c r="W12" s="4"/>
      <c r="X12" s="4"/>
      <c r="Y12" s="2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6" customFormat="1" ht="15.75" thickBot="1">
      <c r="A13" s="9"/>
      <c r="B13" s="17"/>
      <c r="C13" s="25" t="s">
        <v>31</v>
      </c>
      <c r="D13" s="128">
        <f>C22/B24</f>
        <v>0.83333333333333348</v>
      </c>
      <c r="E13" s="84"/>
      <c r="F13" s="78"/>
      <c r="G13" s="78"/>
      <c r="H13" s="12"/>
      <c r="I13"/>
      <c r="J13" s="4"/>
      <c r="K13" s="4"/>
      <c r="L13" s="4"/>
      <c r="M13" s="4"/>
      <c r="N13" s="4"/>
      <c r="O13" s="4"/>
      <c r="P13" s="4"/>
      <c r="Q13" s="4"/>
      <c r="R13" s="4"/>
      <c r="S13" s="4"/>
      <c r="T13" s="24"/>
      <c r="U13" s="4"/>
      <c r="V13" s="4"/>
      <c r="W13" s="4"/>
      <c r="X13" s="4"/>
      <c r="Y13" s="2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6" customFormat="1" ht="16.5" thickBot="1">
      <c r="A14" s="26" t="s">
        <v>32</v>
      </c>
      <c r="B14" s="27"/>
      <c r="C14" s="28" t="s">
        <v>33</v>
      </c>
      <c r="D14" s="29">
        <f>B45</f>
        <v>12.085130476777305</v>
      </c>
      <c r="E14" s="85"/>
      <c r="F14" s="86"/>
      <c r="G14" s="86"/>
      <c r="H14" s="87"/>
      <c r="I14"/>
      <c r="J14" s="4"/>
      <c r="K14" s="4"/>
      <c r="L14" s="4"/>
      <c r="M14" s="4"/>
      <c r="N14" s="4"/>
      <c r="O14" s="4"/>
      <c r="P14" s="4"/>
      <c r="Q14" s="4"/>
      <c r="R14" s="4"/>
      <c r="S14" s="4"/>
      <c r="T14" s="24"/>
      <c r="U14" s="4"/>
      <c r="V14" s="4"/>
      <c r="W14" s="4"/>
      <c r="X14" s="4"/>
      <c r="Y14" s="2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6" customFormat="1" ht="15.75">
      <c r="A15" s="4"/>
      <c r="B15" s="4"/>
      <c r="C15" s="30"/>
      <c r="D15" s="31"/>
      <c r="H15"/>
      <c r="I15"/>
      <c r="J15" s="4"/>
      <c r="K15" s="4"/>
      <c r="L15" s="4"/>
      <c r="M15" s="4"/>
      <c r="N15" s="4"/>
      <c r="O15" s="4"/>
      <c r="P15" s="4"/>
      <c r="Q15" s="4"/>
      <c r="R15" s="4"/>
      <c r="S15" s="4"/>
      <c r="T15" s="24"/>
      <c r="U15" s="4"/>
      <c r="V15" s="4"/>
      <c r="W15" s="4"/>
      <c r="X15" s="4"/>
      <c r="Y15" s="2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.75">
      <c r="A16" s="133" t="s">
        <v>125</v>
      </c>
      <c r="B16" s="94"/>
      <c r="C16" s="95"/>
      <c r="D16" s="96"/>
      <c r="F16" s="3" t="s">
        <v>97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W16" s="16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7" ht="15.75">
      <c r="A17" s="97"/>
      <c r="B17" s="98" t="s">
        <v>51</v>
      </c>
      <c r="C17" s="98"/>
      <c r="D17" s="99"/>
      <c r="E17" s="34"/>
      <c r="F17" s="3" t="s">
        <v>98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W17" s="16"/>
      <c r="X17" s="4"/>
      <c r="Y17" s="4"/>
      <c r="Z17" s="4"/>
      <c r="AA17" s="36"/>
      <c r="AB17" s="117"/>
      <c r="AC17" s="42"/>
      <c r="AD17" s="16"/>
    </row>
    <row r="18" spans="1:37" ht="15.75">
      <c r="A18" s="97"/>
      <c r="B18" s="98">
        <v>0</v>
      </c>
      <c r="C18" s="98">
        <v>1</v>
      </c>
      <c r="D18" s="99"/>
      <c r="E18" s="34"/>
      <c r="F18" s="3" t="s">
        <v>99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W18" s="16"/>
      <c r="X18" s="4"/>
      <c r="Y18" s="4"/>
      <c r="Z18" s="4"/>
      <c r="AA18" s="4"/>
      <c r="AB18" s="4"/>
      <c r="AC18" s="4"/>
      <c r="AD18" s="16"/>
    </row>
    <row r="19" spans="1:37" ht="15.75">
      <c r="A19" s="97"/>
      <c r="B19" s="132" t="s">
        <v>115</v>
      </c>
      <c r="C19" s="296">
        <f>D11*C21+(1-D11)*C22</f>
        <v>102.83018867924528</v>
      </c>
      <c r="D19" s="100"/>
      <c r="E19" s="88"/>
      <c r="F19" s="3" t="s">
        <v>100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W19" s="16"/>
      <c r="X19" s="4"/>
      <c r="Y19" s="4"/>
      <c r="Z19" s="4"/>
      <c r="AA19" s="4"/>
      <c r="AB19" s="4"/>
      <c r="AC19" s="4"/>
      <c r="AD19" s="16"/>
    </row>
    <row r="20" spans="1:37" ht="15.75">
      <c r="A20" s="101" t="s">
        <v>53</v>
      </c>
      <c r="B20" s="98" t="s">
        <v>116</v>
      </c>
      <c r="C20" s="98"/>
      <c r="D20" s="99"/>
      <c r="E20" s="90"/>
      <c r="F20" s="3" t="s">
        <v>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6"/>
      <c r="X20" s="4"/>
      <c r="Y20" s="4"/>
      <c r="Z20" s="4"/>
      <c r="AA20" s="4"/>
      <c r="AB20" s="4"/>
      <c r="AC20" s="4"/>
      <c r="AD20" s="16"/>
    </row>
    <row r="21" spans="1:37" ht="15.75">
      <c r="A21" s="101">
        <v>0</v>
      </c>
      <c r="B21" s="102">
        <f>B10</f>
        <v>100</v>
      </c>
      <c r="C21" s="102">
        <f>(1+$D$9)/(1+$D$6)*B21</f>
        <v>113.20754716981132</v>
      </c>
      <c r="D21" s="103"/>
      <c r="E21" s="43"/>
      <c r="F21" s="3" t="s">
        <v>101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6"/>
      <c r="X21" s="118"/>
      <c r="Y21" s="4"/>
      <c r="Z21" s="4"/>
      <c r="AA21" s="4"/>
      <c r="AB21" s="4"/>
      <c r="AC21" s="4"/>
      <c r="AD21" s="16"/>
    </row>
    <row r="22" spans="1:37" ht="15.75">
      <c r="A22" s="101">
        <f>1+A21</f>
        <v>1</v>
      </c>
      <c r="B22" s="102"/>
      <c r="C22" s="102">
        <f>1/(1+$D$9)/(1+$D$6)*B21</f>
        <v>78.616352201257868</v>
      </c>
      <c r="D22" s="103"/>
      <c r="E22" s="43"/>
      <c r="F22" s="3" t="s">
        <v>12</v>
      </c>
      <c r="G22" s="3"/>
      <c r="H22" s="3"/>
      <c r="I22" s="3"/>
      <c r="J22" s="3"/>
      <c r="K22" s="3"/>
      <c r="L22" s="3"/>
      <c r="M22" s="3"/>
      <c r="N22" s="294">
        <f>C21</f>
        <v>113.20754716981132</v>
      </c>
      <c r="O22" s="3" t="s">
        <v>13</v>
      </c>
      <c r="P22" s="294">
        <f>C22</f>
        <v>78.616352201257868</v>
      </c>
      <c r="Q22" s="3" t="s">
        <v>102</v>
      </c>
      <c r="R22" s="3"/>
      <c r="S22" s="295">
        <f>D11</f>
        <v>0.70000000000000029</v>
      </c>
      <c r="T22" s="3" t="s">
        <v>14</v>
      </c>
      <c r="U22" s="295">
        <f>1-S22</f>
        <v>0.29999999999999971</v>
      </c>
      <c r="V22" s="3" t="s">
        <v>15</v>
      </c>
      <c r="W22" s="16"/>
      <c r="X22" s="118"/>
      <c r="Y22" s="4"/>
      <c r="Z22" s="4"/>
      <c r="AA22" s="4"/>
      <c r="AB22" s="4"/>
      <c r="AC22" s="4"/>
      <c r="AD22" s="16"/>
    </row>
    <row r="23" spans="1:37" ht="15.75">
      <c r="A23" s="101"/>
      <c r="B23" s="102"/>
      <c r="C23" s="102"/>
      <c r="D23" s="103"/>
      <c r="E23" s="43"/>
      <c r="F23" s="3" t="s">
        <v>18</v>
      </c>
      <c r="G23" s="3"/>
      <c r="H23" s="129">
        <f>C31</f>
        <v>90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6"/>
      <c r="X23" s="118"/>
      <c r="Y23" s="4"/>
      <c r="Z23" s="4"/>
      <c r="AA23" s="4"/>
      <c r="AB23" s="4"/>
      <c r="AC23" s="4"/>
      <c r="AD23" s="16"/>
    </row>
    <row r="24" spans="1:37" ht="15.75">
      <c r="A24" s="101" t="s">
        <v>124</v>
      </c>
      <c r="B24" s="297">
        <f>C19/(1+D5)</f>
        <v>94.339622641509422</v>
      </c>
      <c r="C24" s="102"/>
      <c r="D24" s="103"/>
      <c r="E24" s="43"/>
      <c r="F24" s="3" t="s">
        <v>21</v>
      </c>
      <c r="G24" s="3"/>
      <c r="H24" s="3"/>
      <c r="I24" s="3"/>
      <c r="J24" s="3"/>
      <c r="K24" s="3"/>
      <c r="L24" s="3"/>
      <c r="M24" s="3"/>
      <c r="N24" s="130">
        <f>(MAX(C21-C31,0)-MAX(C22-C32,0))/(C21-C22)</f>
        <v>0.67090909090909101</v>
      </c>
      <c r="O24" s="3" t="s">
        <v>22</v>
      </c>
      <c r="P24" s="3"/>
      <c r="Q24" s="3"/>
      <c r="R24" s="3"/>
      <c r="S24" s="294">
        <f>(N24*C22-MAX(C22-C32,0))/(1+D4)</f>
        <v>51.208179986344497</v>
      </c>
      <c r="T24" s="3"/>
      <c r="U24" s="3"/>
      <c r="V24" s="3"/>
      <c r="W24" s="16"/>
      <c r="X24" s="118"/>
      <c r="Y24" s="4"/>
      <c r="Z24" s="4"/>
      <c r="AA24" s="4"/>
      <c r="AB24" s="4"/>
      <c r="AC24" s="4"/>
      <c r="AD24" s="16"/>
    </row>
    <row r="25" spans="1:37" ht="15.75">
      <c r="A25" s="101" t="s">
        <v>118</v>
      </c>
      <c r="B25" s="131">
        <f>(D11*C21+(1-D11)*C22)-(C21-C22)*(D5-D4)/(C21/B24-C22/B24)</f>
        <v>97.169811320754718</v>
      </c>
      <c r="C25" s="105" t="s">
        <v>117</v>
      </c>
      <c r="D25" s="106">
        <f>B24*(1+D4)</f>
        <v>97.169811320754704</v>
      </c>
      <c r="E25" s="43"/>
      <c r="F25" s="3" t="s">
        <v>103</v>
      </c>
      <c r="G25" s="3"/>
      <c r="H25" s="3"/>
      <c r="I25" s="3"/>
      <c r="J25" s="129">
        <f>N24*B21/(1+D6)-S24</f>
        <v>12.085130476777302</v>
      </c>
      <c r="K25" s="3" t="s">
        <v>25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6"/>
      <c r="X25" s="118"/>
      <c r="Y25" s="4"/>
      <c r="Z25" s="4"/>
      <c r="AA25" s="4"/>
      <c r="AB25" s="4"/>
      <c r="AC25" s="4"/>
      <c r="AD25" s="16"/>
      <c r="AE25" s="55"/>
      <c r="AF25" s="4"/>
      <c r="AG25" s="4"/>
      <c r="AH25" s="4"/>
      <c r="AI25" s="4"/>
      <c r="AJ25" s="4"/>
      <c r="AK25" s="4"/>
    </row>
    <row r="26" spans="1:37" ht="15.75">
      <c r="A26" s="107"/>
      <c r="B26" s="108"/>
      <c r="C26" s="109"/>
      <c r="D26" s="110"/>
      <c r="E26" s="43"/>
      <c r="F26" s="3" t="s">
        <v>29</v>
      </c>
      <c r="G26" s="3"/>
      <c r="H26" s="3"/>
      <c r="I26" s="3"/>
      <c r="J26" s="3"/>
      <c r="K26" s="3"/>
      <c r="L26" s="3"/>
      <c r="M26" s="129">
        <f>(1/(1+$D$4))*(($D$11*C38+(1-$D$11)*C39)-((C38-C39)/(C21/B24-C22/B24))*($D$5-$D$4))</f>
        <v>12.085130476777305</v>
      </c>
      <c r="N26" s="3"/>
      <c r="O26" s="3"/>
      <c r="P26" s="3"/>
      <c r="Q26" s="3"/>
      <c r="R26" s="19"/>
      <c r="S26" s="3"/>
      <c r="T26" s="3"/>
      <c r="U26" s="3"/>
      <c r="V26" s="3"/>
      <c r="W26" s="16"/>
      <c r="X26" s="118"/>
      <c r="Y26" s="4"/>
      <c r="Z26" s="4"/>
      <c r="AA26" s="4"/>
      <c r="AB26" s="4"/>
      <c r="AC26" s="4"/>
      <c r="AD26" s="16"/>
      <c r="AE26" s="55"/>
      <c r="AF26" s="4"/>
      <c r="AG26" s="4"/>
      <c r="AH26" s="4"/>
      <c r="AI26" s="4"/>
      <c r="AJ26" s="4"/>
      <c r="AK26" s="4"/>
    </row>
    <row r="27" spans="1:37" ht="15.75">
      <c r="A27" s="41"/>
      <c r="B27" s="91"/>
      <c r="C27" s="41"/>
      <c r="D27" s="9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W27" s="119"/>
      <c r="X27" s="118"/>
      <c r="Y27" s="4"/>
      <c r="Z27" s="4"/>
      <c r="AA27" s="4"/>
      <c r="AB27" s="4"/>
      <c r="AC27" s="4"/>
      <c r="AD27" s="16"/>
    </row>
    <row r="28" spans="1:37" ht="15.75">
      <c r="A28" s="133" t="s">
        <v>126</v>
      </c>
      <c r="B28" s="111" t="s">
        <v>51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W28" s="16"/>
      <c r="X28" s="16"/>
      <c r="Y28" s="16"/>
      <c r="Z28" s="16"/>
      <c r="AA28" s="16"/>
      <c r="AB28" s="16"/>
      <c r="AC28" s="16"/>
      <c r="AD28" s="16"/>
    </row>
    <row r="29" spans="1:37" ht="15.75">
      <c r="A29" s="97"/>
      <c r="B29" s="98">
        <v>0</v>
      </c>
      <c r="C29" s="99"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W29" s="16"/>
      <c r="X29" s="16"/>
      <c r="Y29" s="16"/>
      <c r="Z29" s="16"/>
      <c r="AA29" s="16"/>
      <c r="AB29" s="16"/>
      <c r="AC29" s="16"/>
      <c r="AD29" s="16"/>
    </row>
    <row r="30" spans="1:37" ht="15.75">
      <c r="A30" s="101" t="s">
        <v>53</v>
      </c>
      <c r="B30" s="113" t="s">
        <v>119</v>
      </c>
      <c r="C30" s="9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37" ht="15.75">
      <c r="A31" s="101">
        <v>0</v>
      </c>
      <c r="B31" s="102">
        <f>B11</f>
        <v>88.235294117647058</v>
      </c>
      <c r="C31" s="103">
        <f>(1+$D$7)*B$31</f>
        <v>90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</row>
    <row r="32" spans="1:37" ht="15.75">
      <c r="A32" s="101">
        <f>1+A31</f>
        <v>1</v>
      </c>
      <c r="B32" s="102"/>
      <c r="C32" s="103">
        <f>(1+$D$7)*B$31</f>
        <v>90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ht="15.75">
      <c r="A33" s="107"/>
      <c r="B33" s="114"/>
      <c r="C33" s="115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44"/>
    </row>
    <row r="35" spans="1:15" ht="15.75">
      <c r="A35" s="134" t="s">
        <v>127</v>
      </c>
      <c r="B35" s="111" t="s">
        <v>51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1:15" ht="15.75">
      <c r="A36" s="116"/>
      <c r="B36" s="98">
        <v>0</v>
      </c>
      <c r="C36" s="99"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5" ht="15.75">
      <c r="A37" s="101" t="s">
        <v>53</v>
      </c>
      <c r="B37" s="113" t="s">
        <v>120</v>
      </c>
      <c r="C37" s="99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5" ht="15.75">
      <c r="A38" s="101">
        <v>0</v>
      </c>
      <c r="B38" s="102">
        <f>(1/(1+$D$4))*(($D$11*C38+(1-$D$11)*C39)-((C38-C39)/(C21/B24-C22/B24))*($D$5-$D$4))</f>
        <v>12.085130476777305</v>
      </c>
      <c r="C38" s="103">
        <f>MAX(C21-C31,0)</f>
        <v>23.20754716981132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</row>
    <row r="39" spans="1:15" ht="15.75">
      <c r="A39" s="101">
        <f>1+A38</f>
        <v>1</v>
      </c>
      <c r="B39" s="102"/>
      <c r="C39" s="103">
        <f>MAX(C22-C32,0)</f>
        <v>0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ht="15.75">
      <c r="A40" s="107"/>
      <c r="B40" s="114"/>
      <c r="C40" s="115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2" spans="1:15" ht="15.75">
      <c r="A42" s="134" t="s">
        <v>127</v>
      </c>
      <c r="B42" s="111" t="s">
        <v>51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44"/>
    </row>
    <row r="43" spans="1:15" ht="15.75">
      <c r="A43" s="116"/>
      <c r="B43" s="98">
        <v>0</v>
      </c>
      <c r="C43" s="99"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5" ht="15.75">
      <c r="A44" s="101" t="s">
        <v>53</v>
      </c>
      <c r="B44" s="113" t="s">
        <v>121</v>
      </c>
      <c r="C44" s="9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5" ht="15.75">
      <c r="A45" s="101">
        <v>0</v>
      </c>
      <c r="B45" s="102">
        <f>MAX(B21-B31,(1/(1+$D$4))*(($D$11*C45+(1-$D$11)*C46)-((C45-C46)/(C21/B24-C22/B24))*($D$5-$D$4)))</f>
        <v>12.085130476777305</v>
      </c>
      <c r="C45" s="103">
        <f>MAX(C21-C31,(1/(1+$D$4))*(($D$11*D45+(1-$D$11)*D46)-((D45-D46)/(C21/B24-C22/B24))*($D$5-$D$4)))</f>
        <v>23.20754716981132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ht="15.75">
      <c r="A46" s="101">
        <f>1+A45</f>
        <v>1</v>
      </c>
      <c r="B46" s="102"/>
      <c r="C46" s="103">
        <f>MAX(C22-C32,(1/(1+$D$4))*(($D$11*D46+(1-$D$11)*D47)-((D46-D47)/(C21/B24-C22/B24))*($D$5-$D$4)))</f>
        <v>0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1:15" ht="15.75">
      <c r="A47" s="107"/>
      <c r="B47" s="114"/>
      <c r="C47" s="115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1:15" ht="15.7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ht="15.75">
      <c r="A49" s="4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4"/>
    </row>
    <row r="50" spans="1:15" ht="15.75">
      <c r="A50" s="4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1:15" ht="15.7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ht="15.75">
      <c r="A52" s="4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1:15" ht="15.75">
      <c r="A53" s="4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5" ht="15.7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ht="15.75">
      <c r="A55" s="4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1:15" ht="15.75">
      <c r="A56" s="4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1:15" ht="15.7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>
      <c r="O58" s="70"/>
    </row>
    <row r="59" spans="1:15" ht="15.7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70"/>
    </row>
    <row r="60" spans="1:15" ht="15.7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5" ht="15.75">
      <c r="A61" s="41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5" ht="15.75">
      <c r="A62" s="41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</row>
    <row r="63" spans="1:15" ht="15.75">
      <c r="A63" s="41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</row>
    <row r="64" spans="1:15" ht="15.75">
      <c r="A64" s="41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</row>
    <row r="65" spans="1:15" ht="15.75">
      <c r="A65" s="41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</row>
    <row r="66" spans="1:15" ht="15.75">
      <c r="A66" s="41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</row>
    <row r="67" spans="1:15" ht="15.75">
      <c r="A67" s="41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</row>
    <row r="68" spans="1:15" ht="15.75">
      <c r="A68" s="41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</row>
    <row r="69" spans="1:15" ht="15.75">
      <c r="A69" s="41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</row>
    <row r="70" spans="1:15" ht="15.75">
      <c r="A70" s="4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</row>
    <row r="71" spans="1:15" ht="15.75">
      <c r="A71" s="41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</row>
    <row r="72" spans="1:15" ht="15.75">
      <c r="A72" s="41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</row>
    <row r="73" spans="1:15" ht="15.75">
      <c r="A73" s="41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</row>
    <row r="74" spans="1:15" ht="15.75">
      <c r="A74" s="41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</row>
    <row r="76" spans="1:15">
      <c r="O76" s="44"/>
    </row>
    <row r="77" spans="1:15">
      <c r="O77" s="44"/>
    </row>
    <row r="78" spans="1:15">
      <c r="B78" s="13"/>
      <c r="O78" s="44"/>
    </row>
    <row r="79" spans="1:15" ht="15.7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5" ht="15.7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5" ht="15.75">
      <c r="A81" s="41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5" ht="15.75">
      <c r="A82" s="4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2"/>
      <c r="O82" s="42"/>
    </row>
    <row r="83" spans="1:15" ht="15.75">
      <c r="A83" s="41"/>
      <c r="B83" s="34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2"/>
      <c r="O83" s="42"/>
    </row>
    <row r="84" spans="1:15" ht="15.75">
      <c r="A84" s="41"/>
      <c r="B84" s="34"/>
      <c r="C84" s="34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2"/>
      <c r="O84" s="42"/>
    </row>
    <row r="85" spans="1:15" ht="15.75">
      <c r="A85" s="41"/>
      <c r="B85" s="34"/>
      <c r="C85" s="34"/>
      <c r="D85" s="34"/>
      <c r="E85" s="71"/>
      <c r="F85" s="71"/>
      <c r="G85" s="71"/>
      <c r="H85" s="71"/>
      <c r="I85" s="71"/>
      <c r="J85" s="71"/>
      <c r="K85" s="71"/>
      <c r="L85" s="71"/>
      <c r="M85" s="71"/>
      <c r="N85" s="2"/>
      <c r="O85" s="42"/>
    </row>
    <row r="86" spans="1:15" ht="15.75">
      <c r="A86" s="41"/>
      <c r="B86" s="34"/>
      <c r="C86" s="34"/>
      <c r="D86" s="34"/>
      <c r="E86" s="34"/>
      <c r="F86" s="71"/>
      <c r="G86" s="71"/>
      <c r="H86" s="71"/>
      <c r="I86" s="71"/>
      <c r="J86" s="71"/>
      <c r="K86" s="71"/>
      <c r="L86" s="71"/>
      <c r="M86" s="71"/>
      <c r="N86" s="2"/>
      <c r="O86" s="42"/>
    </row>
    <row r="87" spans="1:15" ht="15.75">
      <c r="A87" s="41"/>
      <c r="B87" s="34"/>
      <c r="C87" s="34"/>
      <c r="D87" s="34"/>
      <c r="E87" s="34"/>
      <c r="F87" s="34"/>
      <c r="G87" s="71"/>
      <c r="H87" s="71"/>
      <c r="I87" s="71"/>
      <c r="J87" s="71"/>
      <c r="K87" s="71"/>
      <c r="L87" s="71"/>
      <c r="M87" s="71"/>
      <c r="N87" s="2"/>
      <c r="O87" s="42"/>
    </row>
    <row r="88" spans="1:15" ht="15.75">
      <c r="A88" s="41"/>
      <c r="B88" s="34"/>
      <c r="C88" s="34"/>
      <c r="D88" s="34"/>
      <c r="E88" s="34"/>
      <c r="F88" s="34"/>
      <c r="G88" s="34"/>
      <c r="H88" s="71"/>
      <c r="I88" s="71"/>
      <c r="J88" s="71"/>
      <c r="K88" s="71"/>
      <c r="L88" s="71"/>
      <c r="M88" s="71"/>
      <c r="N88" s="2"/>
      <c r="O88" s="42"/>
    </row>
    <row r="89" spans="1:15" ht="15.75">
      <c r="A89" s="41"/>
      <c r="B89" s="34"/>
      <c r="C89" s="34"/>
      <c r="D89" s="34"/>
      <c r="E89" s="34"/>
      <c r="F89" s="34"/>
      <c r="G89" s="34"/>
      <c r="H89" s="34"/>
      <c r="I89" s="71"/>
      <c r="J89" s="71"/>
      <c r="K89" s="71"/>
      <c r="L89" s="71"/>
      <c r="M89" s="71"/>
      <c r="N89" s="2"/>
      <c r="O89" s="42"/>
    </row>
    <row r="90" spans="1:15" ht="15.75">
      <c r="A90" s="41"/>
      <c r="B90" s="34"/>
      <c r="C90" s="34"/>
      <c r="D90" s="34"/>
      <c r="E90" s="34"/>
      <c r="F90" s="34"/>
      <c r="G90" s="34"/>
      <c r="H90" s="34"/>
      <c r="I90" s="34"/>
      <c r="J90" s="72"/>
      <c r="K90" s="72"/>
      <c r="L90" s="72"/>
      <c r="M90" s="72"/>
      <c r="N90" s="2"/>
      <c r="O90" s="42"/>
    </row>
    <row r="91" spans="1:15" ht="15.75">
      <c r="A91" s="41"/>
      <c r="B91" s="34"/>
      <c r="C91" s="34"/>
      <c r="D91" s="34"/>
      <c r="E91" s="34"/>
      <c r="F91" s="34"/>
      <c r="G91" s="34"/>
      <c r="H91" s="34"/>
      <c r="I91" s="34"/>
      <c r="J91" s="35"/>
      <c r="K91" s="72"/>
      <c r="L91" s="72"/>
      <c r="M91" s="72"/>
      <c r="N91" s="2"/>
      <c r="O91" s="42"/>
    </row>
    <row r="92" spans="1:15" ht="15.75">
      <c r="A92" s="41"/>
      <c r="B92" s="34"/>
      <c r="C92" s="34"/>
      <c r="D92" s="34"/>
      <c r="E92" s="34"/>
      <c r="F92" s="34"/>
      <c r="G92" s="34"/>
      <c r="H92" s="34"/>
      <c r="I92" s="34"/>
      <c r="J92" s="35"/>
      <c r="K92" s="35"/>
      <c r="L92" s="72"/>
      <c r="M92" s="72"/>
      <c r="N92" s="2"/>
      <c r="O92" s="42"/>
    </row>
    <row r="93" spans="1:15" ht="15.75">
      <c r="A93" s="41"/>
      <c r="B93" s="34"/>
      <c r="C93" s="34"/>
      <c r="D93" s="34"/>
      <c r="E93" s="34"/>
      <c r="F93" s="34"/>
      <c r="G93" s="34"/>
      <c r="H93" s="34"/>
      <c r="I93" s="34"/>
      <c r="J93" s="35"/>
      <c r="K93" s="35"/>
      <c r="L93" s="35"/>
      <c r="M93" s="72"/>
      <c r="N93" s="2"/>
      <c r="O93" s="42"/>
    </row>
    <row r="94" spans="1:15" ht="15.75">
      <c r="A94" s="41"/>
      <c r="N94" s="2"/>
      <c r="O94" s="42"/>
    </row>
    <row r="96" spans="1:15" ht="15.7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3" ht="15.7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1:13" ht="15.75">
      <c r="A98" s="41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ht="15.75">
      <c r="A99" s="41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spans="1:13" ht="15.75">
      <c r="A100" s="41"/>
      <c r="B100" s="74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1:13" ht="15.75">
      <c r="A101" s="41"/>
      <c r="B101" s="74"/>
      <c r="C101" s="74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spans="1:13" ht="15.75">
      <c r="A102" s="41"/>
      <c r="B102" s="74"/>
      <c r="C102" s="74"/>
      <c r="D102" s="74"/>
      <c r="E102" s="73"/>
      <c r="F102" s="73"/>
      <c r="G102" s="73"/>
      <c r="H102" s="73"/>
      <c r="I102" s="73"/>
      <c r="J102" s="73"/>
      <c r="K102" s="73"/>
      <c r="L102" s="73"/>
      <c r="M102" s="73"/>
    </row>
    <row r="103" spans="1:13" ht="15.75">
      <c r="A103" s="41"/>
      <c r="B103" s="74"/>
      <c r="C103" s="74"/>
      <c r="D103" s="74"/>
      <c r="E103" s="74"/>
      <c r="F103" s="73"/>
      <c r="G103" s="73"/>
      <c r="H103" s="73"/>
      <c r="I103" s="73"/>
      <c r="J103" s="73"/>
      <c r="K103" s="73"/>
      <c r="L103" s="73"/>
      <c r="M103" s="73"/>
    </row>
    <row r="104" spans="1:13" ht="15.75">
      <c r="A104" s="41"/>
      <c r="B104" s="74"/>
      <c r="C104" s="74"/>
      <c r="D104" s="74"/>
      <c r="E104" s="74"/>
      <c r="F104" s="74"/>
      <c r="G104" s="73"/>
      <c r="H104" s="73"/>
      <c r="I104" s="73"/>
      <c r="J104" s="73"/>
      <c r="K104" s="73"/>
      <c r="L104" s="73"/>
      <c r="M104" s="73"/>
    </row>
    <row r="105" spans="1:13" ht="15.75">
      <c r="A105" s="41"/>
      <c r="B105" s="74"/>
      <c r="C105" s="74"/>
      <c r="D105" s="74"/>
      <c r="E105" s="74"/>
      <c r="F105" s="74"/>
      <c r="G105" s="74"/>
      <c r="H105" s="73"/>
      <c r="I105" s="73"/>
      <c r="J105" s="73"/>
      <c r="K105" s="73"/>
      <c r="L105" s="73"/>
      <c r="M105" s="73"/>
    </row>
    <row r="106" spans="1:13" ht="15.75">
      <c r="A106" s="41"/>
      <c r="B106" s="74"/>
      <c r="C106" s="74"/>
      <c r="D106" s="74"/>
      <c r="E106" s="74"/>
      <c r="F106" s="74"/>
      <c r="G106" s="74"/>
      <c r="H106" s="74"/>
      <c r="I106" s="73"/>
      <c r="J106" s="73"/>
      <c r="K106" s="73"/>
      <c r="L106" s="73"/>
      <c r="M106" s="73"/>
    </row>
    <row r="107" spans="1:13" ht="15.75">
      <c r="A107" s="41"/>
      <c r="B107" s="74"/>
      <c r="C107" s="74"/>
      <c r="D107" s="74"/>
      <c r="E107" s="74"/>
      <c r="F107" s="74"/>
      <c r="G107" s="74"/>
      <c r="H107" s="74"/>
      <c r="I107" s="74"/>
      <c r="J107" s="73"/>
      <c r="K107" s="73"/>
      <c r="L107" s="73"/>
      <c r="M107" s="73"/>
    </row>
    <row r="108" spans="1:13" ht="15.75">
      <c r="A108" s="41"/>
      <c r="B108" s="74"/>
      <c r="C108" s="74"/>
      <c r="D108" s="74"/>
      <c r="E108" s="74"/>
      <c r="F108" s="74"/>
      <c r="G108" s="74"/>
      <c r="H108" s="74"/>
      <c r="I108" s="74"/>
      <c r="J108" s="74"/>
      <c r="K108" s="73"/>
      <c r="L108" s="73"/>
      <c r="M108" s="73"/>
    </row>
    <row r="109" spans="1:13" ht="15.75">
      <c r="A109" s="41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3"/>
      <c r="M109" s="73"/>
    </row>
    <row r="110" spans="1:13" ht="15.75">
      <c r="A110" s="41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3"/>
    </row>
    <row r="111" spans="1:13" ht="15.75">
      <c r="A111" s="41"/>
    </row>
    <row r="118" spans="1:14" ht="15.75">
      <c r="A118" s="41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4" ht="15.75">
      <c r="A119" s="41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4" ht="15.75">
      <c r="A120" s="41"/>
    </row>
    <row r="121" spans="1:14" ht="15.75">
      <c r="A121" s="4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>
      <c r="A122" s="4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>
      <c r="A123" s="4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>
      <c r="A124" s="41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>
      <c r="A125" s="41"/>
      <c r="F125" s="2"/>
      <c r="G125" s="2"/>
      <c r="H125" s="2"/>
      <c r="I125" s="2"/>
      <c r="J125" s="2"/>
      <c r="K125" s="2"/>
      <c r="L125" s="2"/>
      <c r="M125" s="2"/>
      <c r="N125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99"/>
  <sheetViews>
    <sheetView zoomScale="90" workbookViewId="0"/>
  </sheetViews>
  <sheetFormatPr defaultRowHeight="15"/>
  <cols>
    <col min="1" max="1" width="25.33203125" customWidth="1"/>
    <col min="2" max="2" width="9.6640625" customWidth="1"/>
    <col min="3" max="3" width="8.77734375" customWidth="1"/>
    <col min="15" max="15" width="8.88671875" style="4"/>
  </cols>
  <sheetData>
    <row r="1" spans="1:38" ht="16.5" thickBot="1">
      <c r="A1" s="1" t="s">
        <v>0</v>
      </c>
      <c r="E1" s="2"/>
      <c r="F1" s="2"/>
      <c r="G1" s="2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I1" s="4"/>
      <c r="AJ1" s="4"/>
      <c r="AK1" s="4"/>
      <c r="AL1" s="4"/>
    </row>
    <row r="2" spans="1:38">
      <c r="A2" s="5" t="s">
        <v>1</v>
      </c>
      <c r="B2" s="6"/>
      <c r="C2" s="7" t="s">
        <v>2</v>
      </c>
      <c r="D2" s="8"/>
      <c r="E2" s="2"/>
      <c r="F2" s="2"/>
      <c r="G2" s="2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I2" s="4"/>
      <c r="AJ2" s="4"/>
      <c r="AK2" s="4"/>
      <c r="AL2" s="4"/>
    </row>
    <row r="3" spans="1:38">
      <c r="A3" s="9" t="s">
        <v>49</v>
      </c>
      <c r="B3" s="10">
        <f>1/12</f>
        <v>8.3333333333333329E-2</v>
      </c>
      <c r="C3" s="11"/>
      <c r="D3" s="12"/>
      <c r="E3" s="2"/>
      <c r="F3" s="13"/>
      <c r="H3" s="4"/>
      <c r="I3" s="4"/>
      <c r="J3" s="4"/>
      <c r="K3" s="4"/>
      <c r="L3" s="4"/>
      <c r="M3" s="4"/>
      <c r="N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I3" s="4"/>
      <c r="AJ3" s="4"/>
      <c r="AK3" s="4"/>
      <c r="AL3" s="4"/>
    </row>
    <row r="4" spans="1:38">
      <c r="A4" s="9" t="s">
        <v>3</v>
      </c>
      <c r="B4" s="14">
        <v>0.03</v>
      </c>
      <c r="C4" s="11" t="s">
        <v>4</v>
      </c>
      <c r="D4" s="15">
        <f>B4*B$3</f>
        <v>2.4999999999999996E-3</v>
      </c>
      <c r="E4" s="2"/>
      <c r="F4" s="13"/>
      <c r="H4" s="4"/>
      <c r="I4" s="4"/>
      <c r="J4" s="4"/>
      <c r="K4" s="4"/>
      <c r="L4" s="4"/>
      <c r="M4" s="4"/>
      <c r="N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6"/>
      <c r="AH4" s="16"/>
      <c r="AI4" s="4"/>
      <c r="AJ4" s="4"/>
      <c r="AK4" s="4"/>
      <c r="AL4" s="4"/>
    </row>
    <row r="5" spans="1:38">
      <c r="A5" s="9" t="s">
        <v>5</v>
      </c>
      <c r="B5" s="14">
        <v>0.09</v>
      </c>
      <c r="C5" s="11" t="s">
        <v>6</v>
      </c>
      <c r="D5" s="15">
        <f>B5*B$3</f>
        <v>7.4999999999999997E-3</v>
      </c>
      <c r="H5" s="4"/>
      <c r="I5" s="4"/>
      <c r="J5" s="4"/>
      <c r="K5" s="4"/>
      <c r="L5" s="4"/>
      <c r="M5" s="4"/>
      <c r="N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6"/>
      <c r="AH5" s="16"/>
      <c r="AI5" s="4"/>
      <c r="AJ5" s="4"/>
      <c r="AK5" s="4"/>
      <c r="AL5" s="4"/>
    </row>
    <row r="6" spans="1:38">
      <c r="A6" s="9" t="s">
        <v>8</v>
      </c>
      <c r="B6" s="14">
        <v>0.06</v>
      </c>
      <c r="C6" s="11" t="s">
        <v>9</v>
      </c>
      <c r="D6" s="15">
        <f>B6*B$3</f>
        <v>4.9999999999999992E-3</v>
      </c>
      <c r="H6" s="4"/>
      <c r="I6" s="4"/>
      <c r="J6" s="4"/>
      <c r="K6" s="4"/>
      <c r="L6" s="4"/>
      <c r="M6" s="4"/>
      <c r="N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6"/>
      <c r="AH6" s="16"/>
      <c r="AI6" s="4"/>
      <c r="AJ6" s="4"/>
      <c r="AK6" s="4"/>
      <c r="AL6" s="4"/>
    </row>
    <row r="7" spans="1:38">
      <c r="A7" s="9" t="s">
        <v>10</v>
      </c>
      <c r="B7" s="14">
        <v>1.9818975623042689E-2</v>
      </c>
      <c r="C7" s="11" t="s">
        <v>11</v>
      </c>
      <c r="D7" s="15">
        <f>B7*B$3</f>
        <v>1.6515813019202241E-3</v>
      </c>
      <c r="H7" s="4"/>
      <c r="I7" s="4"/>
      <c r="J7" s="4"/>
      <c r="K7" s="4"/>
      <c r="L7" s="4"/>
      <c r="M7" s="4"/>
      <c r="N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6"/>
      <c r="AH7" s="16"/>
      <c r="AI7" s="4"/>
      <c r="AJ7" s="4"/>
      <c r="AK7" s="4"/>
      <c r="AL7" s="4"/>
    </row>
    <row r="8" spans="1:38">
      <c r="A8" s="9"/>
      <c r="B8" s="17"/>
      <c r="C8" s="11" t="s">
        <v>16</v>
      </c>
      <c r="D8" s="15">
        <f>(1+D5)/(1+D6)-1</f>
        <v>2.4875621890549926E-3</v>
      </c>
      <c r="E8" s="136">
        <f>(1+D8)^(1/B3)-1</f>
        <v>3.0262557479714403E-2</v>
      </c>
      <c r="F8" t="s">
        <v>17</v>
      </c>
      <c r="H8" s="4"/>
      <c r="I8" s="4"/>
      <c r="J8" s="4"/>
      <c r="K8" s="4"/>
      <c r="L8" s="4"/>
      <c r="M8" s="4"/>
      <c r="N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6"/>
      <c r="AH8" s="16"/>
      <c r="AI8" s="4"/>
      <c r="AJ8" s="4"/>
      <c r="AK8" s="4"/>
      <c r="AL8" s="4"/>
    </row>
    <row r="9" spans="1:38">
      <c r="A9" s="9" t="s">
        <v>19</v>
      </c>
      <c r="B9" s="18">
        <v>0.2</v>
      </c>
      <c r="C9" s="11" t="s">
        <v>20</v>
      </c>
      <c r="D9" s="15">
        <f>B9*SQRT(B$3)</f>
        <v>5.7735026918962574E-2</v>
      </c>
      <c r="H9" s="4"/>
      <c r="I9" s="4"/>
      <c r="J9" s="4"/>
      <c r="K9" s="4"/>
      <c r="L9" s="4"/>
      <c r="M9" s="4"/>
      <c r="N9" s="4"/>
      <c r="P9" s="135"/>
      <c r="Q9" s="4"/>
      <c r="R9" s="4"/>
      <c r="S9" s="4"/>
      <c r="T9" s="4"/>
      <c r="U9" s="2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6"/>
      <c r="AH9" s="16"/>
      <c r="AI9" s="4"/>
      <c r="AJ9" s="4"/>
      <c r="AK9" s="4"/>
      <c r="AL9" s="4"/>
    </row>
    <row r="10" spans="1:38">
      <c r="A10" s="9" t="s">
        <v>23</v>
      </c>
      <c r="B10" s="20">
        <v>100</v>
      </c>
      <c r="C10" s="11" t="s">
        <v>24</v>
      </c>
      <c r="D10" s="15">
        <f>(1+D4)/(1+D7)-1</f>
        <v>8.4701977605528E-4</v>
      </c>
      <c r="H10" s="4"/>
      <c r="I10" s="4"/>
      <c r="J10" s="4"/>
      <c r="K10" s="4"/>
      <c r="L10" s="24"/>
      <c r="M10" s="4"/>
      <c r="N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  <c r="AH10" s="16"/>
      <c r="AI10" s="4"/>
      <c r="AJ10" s="4"/>
      <c r="AK10" s="4"/>
      <c r="AL10" s="4"/>
    </row>
    <row r="11" spans="1:38">
      <c r="A11" s="9" t="s">
        <v>26</v>
      </c>
      <c r="B11" s="20">
        <f>90/1.02</f>
        <v>88.235294117647058</v>
      </c>
      <c r="C11" s="11" t="s">
        <v>27</v>
      </c>
      <c r="D11" s="21">
        <f>((1+D5)-1/(1+D9))/((1+D9)-1/(1+D9))</f>
        <v>0.5527455166424885</v>
      </c>
      <c r="H11" s="4"/>
      <c r="I11" s="4"/>
      <c r="J11" s="4"/>
      <c r="K11" s="4"/>
      <c r="L11" s="4"/>
      <c r="M11" s="4"/>
      <c r="N11" s="4"/>
      <c r="O11" s="24"/>
      <c r="P11" s="4"/>
      <c r="Q11" s="4"/>
      <c r="R11" s="4"/>
      <c r="S11" s="4"/>
      <c r="T11" s="2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6"/>
      <c r="AH11" s="16"/>
      <c r="AI11" s="4"/>
      <c r="AJ11" s="4"/>
      <c r="AK11" s="4"/>
      <c r="AL11" s="4"/>
    </row>
    <row r="12" spans="1:38" s="16" customFormat="1">
      <c r="A12" s="9"/>
      <c r="B12" s="17"/>
      <c r="C12" s="22" t="s">
        <v>30</v>
      </c>
      <c r="D12" s="23">
        <f>(1+D9)</f>
        <v>1.0577350269189625</v>
      </c>
      <c r="E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24"/>
      <c r="U12" s="4"/>
      <c r="V12" s="4"/>
      <c r="W12" s="4"/>
      <c r="X12" s="4"/>
      <c r="Y12" s="2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6" customFormat="1" ht="15.75" thickBot="1">
      <c r="A13" s="9"/>
      <c r="B13" s="17"/>
      <c r="C13" s="25" t="s">
        <v>31</v>
      </c>
      <c r="D13" s="128">
        <f>1/D12</f>
        <v>0.94541636095087378</v>
      </c>
      <c r="E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24"/>
      <c r="U13" s="4"/>
      <c r="V13" s="4"/>
      <c r="W13" s="4"/>
      <c r="X13" s="4"/>
      <c r="Y13" s="2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6" customFormat="1" ht="16.5" thickBot="1">
      <c r="A14" s="26" t="s">
        <v>32</v>
      </c>
      <c r="B14" s="27"/>
      <c r="C14" s="126" t="s">
        <v>33</v>
      </c>
      <c r="D14" s="127">
        <f>B119</f>
        <v>12.57210398125628</v>
      </c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4"/>
      <c r="U14" s="4"/>
      <c r="V14" s="4"/>
      <c r="W14" s="4"/>
      <c r="X14" s="4"/>
      <c r="Y14" s="2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6" customFormat="1" ht="15.75">
      <c r="A15" s="4"/>
      <c r="B15" s="4"/>
      <c r="C15" s="30"/>
      <c r="M15" s="4"/>
      <c r="N15" s="4"/>
      <c r="O15" s="4"/>
      <c r="P15" s="4"/>
      <c r="Q15" s="4"/>
      <c r="R15" s="4"/>
      <c r="S15" s="4"/>
      <c r="T15" s="24"/>
      <c r="U15" s="4"/>
      <c r="V15" s="4"/>
      <c r="W15" s="4"/>
      <c r="X15" s="4"/>
      <c r="Y15" s="2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.75">
      <c r="B16" s="32" t="s">
        <v>50</v>
      </c>
      <c r="D16" s="33"/>
      <c r="M16" s="4"/>
      <c r="N16" s="4"/>
      <c r="P16" s="4"/>
      <c r="Q16" s="4"/>
      <c r="R16" s="4"/>
      <c r="S16" s="4"/>
      <c r="T16" s="4"/>
      <c r="U16" s="4"/>
      <c r="V16" s="4"/>
      <c r="W16" s="4"/>
      <c r="X16" s="4"/>
      <c r="Y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29" ht="15.7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 t="s">
        <v>128</v>
      </c>
      <c r="O17" s="36"/>
      <c r="P17" s="4"/>
      <c r="X17" s="4"/>
      <c r="Y17" s="4"/>
    </row>
    <row r="18" spans="1:29" ht="15.75">
      <c r="B18" s="38" t="s">
        <v>37</v>
      </c>
      <c r="C18" s="39">
        <f t="shared" ref="C18:N18" si="0">SUM(C67:C79)</f>
        <v>100.24875621890548</v>
      </c>
      <c r="D18" s="39">
        <f t="shared" si="0"/>
        <v>100.49813123437542</v>
      </c>
      <c r="E18" s="39">
        <f t="shared" si="0"/>
        <v>100.74812658570472</v>
      </c>
      <c r="F18" s="39">
        <f t="shared" si="0"/>
        <v>100.99874381601744</v>
      </c>
      <c r="G18" s="39">
        <f t="shared" si="0"/>
        <v>101.24998447227622</v>
      </c>
      <c r="H18" s="39">
        <f t="shared" si="0"/>
        <v>101.50185010529184</v>
      </c>
      <c r="I18" s="39">
        <f t="shared" si="0"/>
        <v>101.75434226973292</v>
      </c>
      <c r="J18" s="39">
        <f t="shared" si="0"/>
        <v>102.00746252413524</v>
      </c>
      <c r="K18" s="39">
        <f t="shared" si="0"/>
        <v>102.26121243091174</v>
      </c>
      <c r="L18" s="39">
        <f t="shared" si="0"/>
        <v>102.51559355636175</v>
      </c>
      <c r="M18" s="39">
        <f t="shared" si="0"/>
        <v>102.77060747068109</v>
      </c>
      <c r="N18" s="40">
        <f t="shared" si="0"/>
        <v>103.02625574797136</v>
      </c>
      <c r="O18" s="36"/>
      <c r="P18" s="4"/>
      <c r="X18" s="4"/>
      <c r="Y18" s="4"/>
    </row>
    <row r="19" spans="1:29" ht="15.75">
      <c r="B19" s="35" t="s">
        <v>122</v>
      </c>
      <c r="P19" s="4"/>
    </row>
    <row r="20" spans="1:29" ht="15.75">
      <c r="B20" s="34">
        <v>0</v>
      </c>
      <c r="C20" s="34">
        <v>1</v>
      </c>
      <c r="D20" s="34">
        <v>2</v>
      </c>
      <c r="E20" s="34">
        <v>3</v>
      </c>
      <c r="F20" s="34">
        <v>4</v>
      </c>
      <c r="G20" s="34">
        <v>5</v>
      </c>
      <c r="H20" s="34">
        <v>6</v>
      </c>
      <c r="I20" s="34">
        <v>7</v>
      </c>
      <c r="J20" s="34">
        <v>8</v>
      </c>
      <c r="K20" s="34">
        <v>9</v>
      </c>
      <c r="L20" s="34">
        <v>10</v>
      </c>
      <c r="M20" s="34">
        <v>11</v>
      </c>
      <c r="N20" s="34">
        <v>12</v>
      </c>
      <c r="P20" s="4"/>
    </row>
    <row r="21" spans="1:29" ht="15.75">
      <c r="A21" s="41"/>
      <c r="B21" s="34" t="s">
        <v>86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P21" s="42"/>
    </row>
    <row r="22" spans="1:29" ht="16.5" thickBo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P22" s="42"/>
    </row>
    <row r="23" spans="1:29" ht="16.5" thickBo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120">
        <f>(1+$D$9)/(1+$D$6)*M24</f>
        <v>184.72679447359479</v>
      </c>
      <c r="P23" s="42"/>
    </row>
    <row r="24" spans="1:29" ht="16.5" thickBot="1"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0">
        <f>(1+$D$9)/(1+$D$6)*L25</f>
        <v>175.51695247035266</v>
      </c>
      <c r="N24" s="122"/>
      <c r="P24" s="42"/>
    </row>
    <row r="25" spans="1:29" ht="16.5" thickBot="1">
      <c r="A25" s="4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0">
        <f>(1+$D$9)/(1+$D$6)*K26</f>
        <v>166.76628148215681</v>
      </c>
      <c r="M25" s="122"/>
      <c r="N25" s="120">
        <f>1/(1+$D$9)/(1+$D$6)*M24</f>
        <v>165.11104327334161</v>
      </c>
      <c r="P25" s="42"/>
    </row>
    <row r="26" spans="1:29" ht="16.5" thickBot="1">
      <c r="B26" s="121"/>
      <c r="C26" s="121"/>
      <c r="D26" s="121"/>
      <c r="E26" s="121"/>
      <c r="F26" s="121"/>
      <c r="G26" s="121"/>
      <c r="H26" s="121"/>
      <c r="I26" s="121"/>
      <c r="J26" s="121"/>
      <c r="K26" s="120">
        <f>(1+$D$9)/(1+$D$6)*J27</f>
        <v>158.45188882301062</v>
      </c>
      <c r="L26" s="122"/>
      <c r="M26" s="120">
        <f>1/(1+$D$9)/(1+$D$6)*L25</f>
        <v>156.87917509270628</v>
      </c>
      <c r="N26" s="122"/>
      <c r="P26" s="42"/>
    </row>
    <row r="27" spans="1:29" ht="16.5" thickBot="1">
      <c r="A27" s="41"/>
      <c r="B27" s="121"/>
      <c r="C27" s="121"/>
      <c r="D27" s="121"/>
      <c r="E27" s="121"/>
      <c r="F27" s="121"/>
      <c r="G27" s="121"/>
      <c r="H27" s="121"/>
      <c r="I27" s="121"/>
      <c r="J27" s="120">
        <f>(1+$D$9)/(1+$D$6)*I28</f>
        <v>150.55202315742733</v>
      </c>
      <c r="K27" s="122"/>
      <c r="L27" s="120">
        <f>1/(1+$D$9)/(1+$D$6)*K26</f>
        <v>149.05771951924692</v>
      </c>
      <c r="M27" s="122"/>
      <c r="N27" s="120">
        <f>1/(1+$D$9)/(1+$D$6)*M26</f>
        <v>147.57824758718542</v>
      </c>
      <c r="P27" s="42"/>
    </row>
    <row r="28" spans="1:29" ht="16.5" thickBot="1">
      <c r="B28" s="121"/>
      <c r="C28" s="121"/>
      <c r="D28" s="121"/>
      <c r="E28" s="121"/>
      <c r="F28" s="121"/>
      <c r="G28" s="121"/>
      <c r="H28" s="121"/>
      <c r="I28" s="120">
        <f>(1+$D$9)/(1+$D$6)*H29</f>
        <v>143.04601759662305</v>
      </c>
      <c r="J28" s="122"/>
      <c r="K28" s="120">
        <f>1/(1+$D$9)/(1+$D$6)*J27</f>
        <v>141.62621479332003</v>
      </c>
      <c r="L28" s="122"/>
      <c r="M28" s="120">
        <f>1/(1+$D$9)/(1+$D$6)*L27</f>
        <v>140.22050423833082</v>
      </c>
      <c r="N28" s="122"/>
      <c r="P28" s="42"/>
      <c r="Z28" s="4"/>
      <c r="AA28" s="4"/>
      <c r="AB28" s="4"/>
      <c r="AC28" s="4" t="s">
        <v>35</v>
      </c>
    </row>
    <row r="29" spans="1:29" ht="16.5" thickBot="1">
      <c r="A29" s="41"/>
      <c r="B29" s="121"/>
      <c r="C29" s="121"/>
      <c r="D29" s="121"/>
      <c r="E29" s="121"/>
      <c r="F29" s="121"/>
      <c r="G29" s="121"/>
      <c r="H29" s="120">
        <f>(1+$D$9)/(1+$D$6)*G30</f>
        <v>135.91423563173757</v>
      </c>
      <c r="I29" s="122"/>
      <c r="J29" s="120">
        <f>1/(1+$D$9)/(1+$D$6)*I28</f>
        <v>134.56521930817317</v>
      </c>
      <c r="K29" s="122"/>
      <c r="L29" s="120">
        <f>1/(1+$D$9)/(1+$D$6)*K28</f>
        <v>133.22959264193776</v>
      </c>
      <c r="M29" s="122"/>
      <c r="N29" s="120">
        <f>1/(1+$D$9)/(1+$D$6)*M28</f>
        <v>131.90722273402918</v>
      </c>
      <c r="P29" s="42"/>
      <c r="Z29" s="4"/>
      <c r="AA29" s="36" t="s">
        <v>36</v>
      </c>
      <c r="AB29" s="137">
        <f>AB31/B35</f>
        <v>0.1995085306967056</v>
      </c>
      <c r="AC29" s="2">
        <f>AB29/SQRT(12*B3)</f>
        <v>0.1995085306967056</v>
      </c>
    </row>
    <row r="30" spans="1:29" ht="16.5" thickBot="1">
      <c r="B30" s="121"/>
      <c r="C30" s="121"/>
      <c r="D30" s="121"/>
      <c r="E30" s="121"/>
      <c r="F30" s="121"/>
      <c r="G30" s="120">
        <f>(1+$D$9)/(1+$D$6)*F31</f>
        <v>129.13801976263878</v>
      </c>
      <c r="H30" s="122"/>
      <c r="I30" s="120">
        <f>1/(1+$D$9)/(1+$D$6)*H29</f>
        <v>127.85626074863377</v>
      </c>
      <c r="J30" s="122"/>
      <c r="K30" s="120">
        <f>1/(1+$D$9)/(1+$D$6)*J29</f>
        <v>126.58722382974065</v>
      </c>
      <c r="L30" s="122"/>
      <c r="M30" s="120">
        <f>1/(1+$D$9)/(1+$D$6)*L29</f>
        <v>125.3307827328439</v>
      </c>
      <c r="N30" s="122"/>
      <c r="P30" s="42"/>
      <c r="Z30" s="4"/>
      <c r="AA30" s="36"/>
      <c r="AB30" s="117"/>
      <c r="AC30" s="2"/>
    </row>
    <row r="31" spans="1:29" ht="16.5" thickBot="1">
      <c r="A31" s="41"/>
      <c r="B31" s="121"/>
      <c r="C31" s="121"/>
      <c r="D31" s="121"/>
      <c r="E31" s="121"/>
      <c r="F31" s="120">
        <f>(1+$D$9)/(1+$D$6)*E32</f>
        <v>122.69964268791793</v>
      </c>
      <c r="G31" s="122"/>
      <c r="H31" s="120">
        <f>1/(1+$D$9)/(1+$D$6)*G30</f>
        <v>121.48178776556816</v>
      </c>
      <c r="I31" s="122"/>
      <c r="J31" s="120">
        <f>1/(1+$D$9)/(1+$D$6)*I30</f>
        <v>120.27602065846706</v>
      </c>
      <c r="K31" s="122"/>
      <c r="L31" s="120">
        <f>1/(1+$D$9)/(1+$D$6)*K30</f>
        <v>119.08222138904195</v>
      </c>
      <c r="M31" s="122"/>
      <c r="N31" s="120">
        <f>1/(1+$D$9)/(1+$D$6)*M30</f>
        <v>117.90027117055712</v>
      </c>
      <c r="P31" s="42"/>
      <c r="AB31">
        <f>SQRT(AB32)</f>
        <v>19.950853069670561</v>
      </c>
    </row>
    <row r="32" spans="1:29" ht="16.5" thickBot="1">
      <c r="B32" s="121"/>
      <c r="C32" s="121"/>
      <c r="D32" s="121"/>
      <c r="E32" s="120">
        <f>(1+$D$9)/(1+$D$6)*D33</f>
        <v>116.58226092838376</v>
      </c>
      <c r="F32" s="123"/>
      <c r="G32" s="120">
        <f>1/(1+$D$9)/(1+$D$6)*F31</f>
        <v>115.42512405968544</v>
      </c>
      <c r="H32" s="122"/>
      <c r="I32" s="120">
        <f>1/(1+$D$9)/(1+$D$6)*H31</f>
        <v>114.27947234938293</v>
      </c>
      <c r="J32" s="122"/>
      <c r="K32" s="120">
        <f>1/(1+$D$9)/(1+$D$6)*J31</f>
        <v>113.14519180157221</v>
      </c>
      <c r="L32" s="122"/>
      <c r="M32" s="120">
        <f>1/(1+$D$9)/(1+$D$6)*L31</f>
        <v>112.02216955181528</v>
      </c>
      <c r="N32" s="122"/>
      <c r="P32" s="42"/>
      <c r="AB32">
        <f>SUM(AB35:AB47)</f>
        <v>398.03653820758331</v>
      </c>
    </row>
    <row r="33" spans="1:28" ht="16.5" thickBot="1">
      <c r="A33" s="41"/>
      <c r="B33" s="121"/>
      <c r="C33" s="121"/>
      <c r="D33" s="120">
        <f>(1+$D$9)/(1+$D$6)*C34</f>
        <v>110.76987076272948</v>
      </c>
      <c r="E33" s="122"/>
      <c r="F33" s="120">
        <f>1/(1+$D$9)/(1+$D$6)*E32</f>
        <v>109.670424754565</v>
      </c>
      <c r="G33" s="122"/>
      <c r="H33" s="120">
        <f>1/(1+$D$9)/(1+$D$6)*G32</f>
        <v>108.58189129433929</v>
      </c>
      <c r="I33" s="122"/>
      <c r="J33" s="120">
        <f>1/(1+$D$9)/(1+$D$6)*I32</f>
        <v>107.50416206959167</v>
      </c>
      <c r="K33" s="122"/>
      <c r="L33" s="120">
        <f>1/(1+$D$9)/(1+$D$6)*K32</f>
        <v>106.43712984291648</v>
      </c>
      <c r="M33" s="122"/>
      <c r="N33" s="120">
        <f>1/(1+$D$9)/(1+$D$6)*M32</f>
        <v>105.38068844129253</v>
      </c>
      <c r="P33" s="42"/>
    </row>
    <row r="34" spans="1:28" ht="16.5" thickBot="1">
      <c r="B34" s="121"/>
      <c r="C34" s="120">
        <f>(1+$D$9)/(1+$D$6)*B35</f>
        <v>105.24726636009578</v>
      </c>
      <c r="D34" s="122"/>
      <c r="E34" s="120">
        <f>1/(1+$D$9)/(1+$D$6)*D33</f>
        <v>104.20263494477445</v>
      </c>
      <c r="F34" s="122"/>
      <c r="G34" s="120">
        <f>1/(1+$D$9)/(1+$D$6)*F33</f>
        <v>103.16837201532088</v>
      </c>
      <c r="H34" s="122"/>
      <c r="I34" s="120">
        <f>1/(1+$D$9)/(1+$D$6)*H33</f>
        <v>102.14437465936082</v>
      </c>
      <c r="J34" s="122"/>
      <c r="K34" s="120">
        <f>1/(1+$D$9)/(1+$D$6)*J33</f>
        <v>101.13054098597645</v>
      </c>
      <c r="L34" s="122"/>
      <c r="M34" s="120">
        <f>1/(1+$D$9)/(1+$D$6)*L33</f>
        <v>100.12677011556792</v>
      </c>
      <c r="N34" s="122"/>
      <c r="P34" s="42"/>
    </row>
    <row r="35" spans="1:28" ht="16.5" thickBot="1">
      <c r="A35" s="41"/>
      <c r="B35" s="120">
        <f>B10</f>
        <v>100</v>
      </c>
      <c r="C35" s="122"/>
      <c r="D35" s="120">
        <f>1/(1+$D$9)/(1+$D$6)*C34</f>
        <v>99.007450310635903</v>
      </c>
      <c r="E35" s="122"/>
      <c r="F35" s="120">
        <f>1/(1+$D$9)/(1+$D$6)*E34</f>
        <v>98.02475217013037</v>
      </c>
      <c r="G35" s="122"/>
      <c r="H35" s="120">
        <f>1/(1+$D$9)/(1+$D$6)*G34</f>
        <v>97.051807796965818</v>
      </c>
      <c r="I35" s="122"/>
      <c r="J35" s="120">
        <f>1/(1+$D$9)/(1+$D$6)*I34</f>
        <v>96.08852038015479</v>
      </c>
      <c r="K35" s="122"/>
      <c r="L35" s="120">
        <f>1/(1+$D$9)/(1+$D$6)*K34</f>
        <v>95.134794069607025</v>
      </c>
      <c r="M35" s="122"/>
      <c r="N35" s="120">
        <f>1/(1+$D$9)/(1+$D$6)*M34</f>
        <v>94.190533966591985</v>
      </c>
      <c r="O35" s="44"/>
      <c r="W35" s="45">
        <f>N47</f>
        <v>48.026907597207682</v>
      </c>
      <c r="X35" s="46">
        <f>N64</f>
        <v>6.4070252045764795E-5</v>
      </c>
      <c r="Z35">
        <f t="shared" ref="Z35:Z47" si="1">W35-N$18</f>
        <v>-54.99934815076368</v>
      </c>
      <c r="AA35">
        <f t="shared" ref="AA35:AA47" si="2">Z35^2</f>
        <v>3024.9282970089121</v>
      </c>
      <c r="AB35">
        <f t="shared" ref="AB35:AB47" si="3">AA35*X35</f>
        <v>0.19380791840972705</v>
      </c>
    </row>
    <row r="36" spans="1:28" ht="16.5" thickBot="1">
      <c r="B36" s="121"/>
      <c r="C36" s="120">
        <f>1/(1+$D$9)/(1+$D$6)*B35</f>
        <v>94.071279696604364</v>
      </c>
      <c r="D36" s="122"/>
      <c r="E36" s="120">
        <f>1/(1+$D$9)/(1+$D$6)*D35</f>
        <v>93.137575502194892</v>
      </c>
      <c r="F36" s="122"/>
      <c r="G36" s="120">
        <f>1/(1+$D$9)/(1+$D$6)*F35</f>
        <v>92.213138785866605</v>
      </c>
      <c r="H36" s="122"/>
      <c r="I36" s="120">
        <f>1/(1+$D$9)/(1+$D$6)*H35</f>
        <v>91.297877563294605</v>
      </c>
      <c r="J36" s="122"/>
      <c r="K36" s="120">
        <f>1/(1+$D$9)/(1+$D$6)*J35</f>
        <v>90.391700763144101</v>
      </c>
      <c r="L36" s="122"/>
      <c r="M36" s="120">
        <f>1/(1+$D$9)/(1+$D$6)*L35</f>
        <v>89.494518218008608</v>
      </c>
      <c r="N36" s="122"/>
      <c r="O36" s="44"/>
      <c r="W36" s="47">
        <f>N45</f>
        <v>53.732666895116999</v>
      </c>
      <c r="X36" s="48">
        <f>N63</f>
        <v>9.5018507501848002E-4</v>
      </c>
      <c r="Z36">
        <f t="shared" si="1"/>
        <v>-49.293588852854363</v>
      </c>
      <c r="AA36">
        <f t="shared" si="2"/>
        <v>2429.8579019942481</v>
      </c>
      <c r="AB36">
        <f t="shared" si="3"/>
        <v>2.3088147128906509</v>
      </c>
    </row>
    <row r="37" spans="1:28" ht="16.5" thickBot="1">
      <c r="A37" s="41"/>
      <c r="B37" s="121"/>
      <c r="C37" s="121"/>
      <c r="D37" s="120">
        <f>1/(1+$D$9)/(1+$D$6)*C36</f>
        <v>88.494056637567695</v>
      </c>
      <c r="E37" s="122"/>
      <c r="F37" s="120">
        <f>1/(1+$D$9)/(1+$D$6)*E36</f>
        <v>87.615709153305829</v>
      </c>
      <c r="G37" s="122"/>
      <c r="H37" s="120">
        <f>1/(1+$D$9)/(1+$D$6)*G36</f>
        <v>86.746079704270542</v>
      </c>
      <c r="I37" s="122"/>
      <c r="J37" s="120">
        <f>1/(1+$D$9)/(1+$D$6)*I36</f>
        <v>85.885081759630282</v>
      </c>
      <c r="K37" s="122"/>
      <c r="L37" s="120">
        <f>1/(1+$D$9)/(1+$D$6)*K36</f>
        <v>85.03262964741495</v>
      </c>
      <c r="M37" s="123"/>
      <c r="N37" s="120">
        <f>1/(1+$D$9)/(1+$D$6)*M36</f>
        <v>84.188638545991438</v>
      </c>
      <c r="O37" s="44"/>
      <c r="W37" s="47">
        <f>N43</f>
        <v>60.116289724001831</v>
      </c>
      <c r="X37" s="48">
        <f>N62</f>
        <v>6.4586450859003544E-3</v>
      </c>
      <c r="Z37">
        <f t="shared" si="1"/>
        <v>-42.909966023969531</v>
      </c>
      <c r="AA37">
        <f t="shared" si="2"/>
        <v>1841.2651841782194</v>
      </c>
      <c r="AB37">
        <f t="shared" si="3"/>
        <v>11.892078333632067</v>
      </c>
    </row>
    <row r="38" spans="1:28" ht="16.5" thickBot="1">
      <c r="B38" s="121"/>
      <c r="C38" s="121"/>
      <c r="D38" s="121"/>
      <c r="E38" s="120">
        <f>1/(1+$D$9)/(1+$D$6)*D37</f>
        <v>83.247491534397795</v>
      </c>
      <c r="F38" s="122"/>
      <c r="G38" s="120">
        <f>1/(1+$D$9)/(1+$D$6)*F37</f>
        <v>82.42121881576972</v>
      </c>
      <c r="H38" s="122"/>
      <c r="I38" s="120">
        <f>1/(1+$D$9)/(1+$D$6)*H37</f>
        <v>81.603147264443706</v>
      </c>
      <c r="J38" s="122"/>
      <c r="K38" s="120">
        <f>1/(1+$D$9)/(1+$D$6)*J37</f>
        <v>80.793195479759149</v>
      </c>
      <c r="L38" s="122"/>
      <c r="M38" s="120">
        <f>1/(1+$D$9)/(1+$D$6)*L37</f>
        <v>79.991282868997445</v>
      </c>
      <c r="N38" s="122"/>
      <c r="O38" s="44"/>
      <c r="W38" s="47">
        <f>N41</f>
        <v>67.258308567381974</v>
      </c>
      <c r="X38" s="48">
        <f>N61</f>
        <v>2.6606680295423686E-2</v>
      </c>
      <c r="Z38">
        <f t="shared" si="1"/>
        <v>-35.767947180589388</v>
      </c>
      <c r="AA38">
        <f t="shared" si="2"/>
        <v>1279.3460455134323</v>
      </c>
      <c r="AB38">
        <f t="shared" si="3"/>
        <v>34.039151220190455</v>
      </c>
    </row>
    <row r="39" spans="1:28" ht="16.5" thickBot="1">
      <c r="A39" s="41"/>
      <c r="B39" s="121"/>
      <c r="C39" s="121"/>
      <c r="D39" s="121"/>
      <c r="E39" s="121"/>
      <c r="F39" s="120">
        <f>1/(1+$D$9)/(1+$D$6)*E38</f>
        <v>78.311980601730397</v>
      </c>
      <c r="G39" s="122"/>
      <c r="H39" s="120">
        <f>1/(1+$D$9)/(1+$D$6)*G38</f>
        <v>77.534695281533047</v>
      </c>
      <c r="I39" s="122"/>
      <c r="J39" s="120">
        <f>1/(1+$D$9)/(1+$D$6)*I38</f>
        <v>76.7651249043668</v>
      </c>
      <c r="K39" s="122"/>
      <c r="L39" s="120">
        <f>1/(1+$D$9)/(1+$D$6)*K38</f>
        <v>76.003192895588555</v>
      </c>
      <c r="M39" s="122"/>
      <c r="N39" s="120">
        <f>1/(1+$D$9)/(1+$D$6)*M38</f>
        <v>75.248823440596567</v>
      </c>
      <c r="O39" s="44"/>
      <c r="W39" s="47">
        <f>N39</f>
        <v>75.248823440596567</v>
      </c>
      <c r="X39" s="48">
        <f>N60</f>
        <v>7.3985009731315207E-2</v>
      </c>
      <c r="Z39">
        <f t="shared" si="1"/>
        <v>-27.777432307374795</v>
      </c>
      <c r="AA39">
        <f t="shared" si="2"/>
        <v>771.58574559078909</v>
      </c>
      <c r="AB39">
        <f t="shared" si="3"/>
        <v>57.085778896078629</v>
      </c>
    </row>
    <row r="40" spans="1:28" ht="16.5" thickBot="1">
      <c r="B40" s="124"/>
      <c r="C40" s="124"/>
      <c r="D40" s="124"/>
      <c r="E40" s="124"/>
      <c r="F40" s="124"/>
      <c r="G40" s="120">
        <f>1/(1+$D$9)/(1+$D$6)*F39</f>
        <v>73.669082307804359</v>
      </c>
      <c r="H40" s="122"/>
      <c r="I40" s="120">
        <f>1/(1+$D$9)/(1+$D$6)*H39</f>
        <v>72.937880060200868</v>
      </c>
      <c r="J40" s="122"/>
      <c r="K40" s="120">
        <f>1/(1+$D$9)/(1+$D$6)*J39</f>
        <v>72.213935358234593</v>
      </c>
      <c r="L40" s="122"/>
      <c r="M40" s="120">
        <f>1/(1+$D$9)/(1+$D$6)*L39</f>
        <v>71.497176167158855</v>
      </c>
      <c r="N40" s="122"/>
      <c r="O40" s="44"/>
      <c r="W40" s="47">
        <f>N37</f>
        <v>84.188638545991438</v>
      </c>
      <c r="X40" s="48">
        <f>N59</f>
        <v>0.14629660365433131</v>
      </c>
      <c r="Z40">
        <f t="shared" si="1"/>
        <v>-18.837617201979924</v>
      </c>
      <c r="AA40">
        <f t="shared" si="2"/>
        <v>354.85582184832992</v>
      </c>
      <c r="AB40">
        <f t="shared" si="3"/>
        <v>51.914201523377123</v>
      </c>
    </row>
    <row r="41" spans="1:28" ht="16.5" thickBot="1">
      <c r="A41" s="41"/>
      <c r="B41" s="124"/>
      <c r="C41" s="124"/>
      <c r="D41" s="124"/>
      <c r="E41" s="124"/>
      <c r="F41" s="124"/>
      <c r="G41" s="124"/>
      <c r="H41" s="120">
        <f>1/(1+$D$9)/(1+$D$6)*G40</f>
        <v>69.301448467696318</v>
      </c>
      <c r="I41" s="122"/>
      <c r="J41" s="120">
        <f>1/(1+$D$9)/(1+$D$6)*I40</f>
        <v>68.613597156205387</v>
      </c>
      <c r="K41" s="122"/>
      <c r="L41" s="120">
        <f>1/(1+$D$9)/(1+$D$6)*K40</f>
        <v>67.932573110769937</v>
      </c>
      <c r="M41" s="122"/>
      <c r="N41" s="120">
        <f>1/(1+$D$9)/(1+$D$6)*M40</f>
        <v>67.258308567381974</v>
      </c>
      <c r="O41" s="44"/>
      <c r="W41" s="47">
        <f>N35</f>
        <v>94.190533966591985</v>
      </c>
      <c r="X41" s="48">
        <f>N58</f>
        <v>0.21093641444737624</v>
      </c>
      <c r="Z41">
        <f t="shared" si="1"/>
        <v>-8.8357217813793767</v>
      </c>
      <c r="AA41">
        <f t="shared" si="2"/>
        <v>78.06997939794195</v>
      </c>
      <c r="AB41">
        <f t="shared" si="3"/>
        <v>16.467801530182406</v>
      </c>
    </row>
    <row r="42" spans="1:28" ht="16.5" thickBot="1">
      <c r="B42" s="124"/>
      <c r="C42" s="124"/>
      <c r="D42" s="124"/>
      <c r="E42" s="124"/>
      <c r="F42" s="124"/>
      <c r="G42" s="124"/>
      <c r="H42" s="124"/>
      <c r="I42" s="120">
        <f>1/(1+$D$9)/(1+$D$6)*H41</f>
        <v>65.192759421844741</v>
      </c>
      <c r="J42" s="122"/>
      <c r="K42" s="120">
        <f>1/(1+$D$9)/(1+$D$6)*J41</f>
        <v>64.545688890715354</v>
      </c>
      <c r="L42" s="122"/>
      <c r="M42" s="120">
        <f>1/(1+$D$9)/(1+$D$6)*L41</f>
        <v>63.905040856132636</v>
      </c>
      <c r="N42" s="122"/>
      <c r="O42" s="44"/>
      <c r="W42" s="47">
        <f>N33</f>
        <v>105.38068844129253</v>
      </c>
      <c r="X42" s="48">
        <f>N57</f>
        <v>0.2234473949477532</v>
      </c>
      <c r="Z42">
        <f t="shared" si="1"/>
        <v>2.3544326933211721</v>
      </c>
      <c r="AA42">
        <f t="shared" si="2"/>
        <v>5.5433533073795882</v>
      </c>
      <c r="AB42">
        <f t="shared" si="3"/>
        <v>1.2386478558089808</v>
      </c>
    </row>
    <row r="43" spans="1:28" ht="16.5" thickBot="1">
      <c r="A43" s="41"/>
      <c r="B43" s="124"/>
      <c r="C43" s="124"/>
      <c r="D43" s="124"/>
      <c r="E43" s="124"/>
      <c r="F43" s="124"/>
      <c r="G43" s="124"/>
      <c r="H43" s="124"/>
      <c r="I43" s="124"/>
      <c r="J43" s="120">
        <f>1/(1+$D$9)/(1+$D$6)*I42</f>
        <v>61.327663057657965</v>
      </c>
      <c r="K43" s="122"/>
      <c r="L43" s="120">
        <f>1/(1+$D$9)/(1+$D$6)*K42</f>
        <v>60.718955528484933</v>
      </c>
      <c r="M43" s="122"/>
      <c r="N43" s="120">
        <f>1/(1+$D$9)/(1+$D$6)*M42</f>
        <v>60.116289724001831</v>
      </c>
      <c r="O43" s="44"/>
      <c r="W43" s="47">
        <f>N31</f>
        <v>117.90027117055712</v>
      </c>
      <c r="X43" s="48">
        <f>N56</f>
        <v>0.17259405768785643</v>
      </c>
      <c r="Z43">
        <f t="shared" si="1"/>
        <v>14.874015422585757</v>
      </c>
      <c r="AA43">
        <f t="shared" si="2"/>
        <v>221.23633479131894</v>
      </c>
      <c r="AB43">
        <f t="shared" si="3"/>
        <v>38.184076729622824</v>
      </c>
    </row>
    <row r="44" spans="1:28" ht="16.5" thickBot="1">
      <c r="B44" s="124"/>
      <c r="C44" s="124"/>
      <c r="D44" s="124"/>
      <c r="E44" s="124"/>
      <c r="F44" s="124"/>
      <c r="G44" s="124"/>
      <c r="H44" s="124"/>
      <c r="I44" s="124"/>
      <c r="J44" s="124"/>
      <c r="K44" s="120">
        <f>1/(1+$D$9)/(1+$D$6)*J43</f>
        <v>57.691717446360535</v>
      </c>
      <c r="L44" s="122"/>
      <c r="M44" s="120">
        <f>1/(1+$D$9)/(1+$D$6)*L43</f>
        <v>57.119098484057886</v>
      </c>
      <c r="N44" s="122"/>
      <c r="O44" s="44"/>
      <c r="W44" s="47">
        <f>N29</f>
        <v>131.90722273402918</v>
      </c>
      <c r="X44" s="48">
        <f>N55</f>
        <v>9.4801202681878985E-2</v>
      </c>
      <c r="Z44">
        <f t="shared" si="1"/>
        <v>28.880966986057814</v>
      </c>
      <c r="AA44">
        <f t="shared" si="2"/>
        <v>834.11025404976135</v>
      </c>
      <c r="AB44">
        <f t="shared" si="3"/>
        <v>79.074655253204995</v>
      </c>
    </row>
    <row r="45" spans="1:28" ht="16.5" thickBot="1">
      <c r="A45" s="41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0">
        <f>1/(1+$D$9)/(1+$D$6)*K44</f>
        <v>54.27133688074052</v>
      </c>
      <c r="M45" s="122"/>
      <c r="N45" s="120">
        <f>1/(1+$D$9)/(1+$D$6)*M44</f>
        <v>53.732666895116999</v>
      </c>
      <c r="O45" s="44"/>
      <c r="W45" s="47">
        <f>N27</f>
        <v>147.57824758718542</v>
      </c>
      <c r="X45" s="48">
        <f>N54</f>
        <v>3.5148405463498469E-2</v>
      </c>
      <c r="Z45">
        <f t="shared" si="1"/>
        <v>44.551991839214054</v>
      </c>
      <c r="AA45">
        <f t="shared" si="2"/>
        <v>1984.8799768413955</v>
      </c>
      <c r="AB45">
        <f t="shared" si="3"/>
        <v>69.765366222400829</v>
      </c>
    </row>
    <row r="46" spans="1:28" ht="16.5" thickBot="1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1"/>
      <c r="M46" s="120">
        <f>1/(1+$D$9)/(1+$D$6)*L45</f>
        <v>51.05374111216782</v>
      </c>
      <c r="N46" s="122"/>
      <c r="O46" s="44"/>
      <c r="W46" s="47">
        <f>N25</f>
        <v>165.11104327334161</v>
      </c>
      <c r="X46" s="48">
        <f>N53</f>
        <v>7.897933344644668E-3</v>
      </c>
      <c r="Z46">
        <f t="shared" si="1"/>
        <v>62.084787525370245</v>
      </c>
      <c r="AA46">
        <f t="shared" si="2"/>
        <v>3854.5208420703689</v>
      </c>
      <c r="AB46">
        <f t="shared" si="3"/>
        <v>30.44274868621541</v>
      </c>
    </row>
    <row r="47" spans="1:28" ht="16.5" thickBot="1">
      <c r="A47" s="41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1"/>
      <c r="M47" s="121"/>
      <c r="N47" s="120">
        <f>1/(1+$D$9)/(1+$D$6)*M46</f>
        <v>48.026907597207682</v>
      </c>
      <c r="O47" s="44"/>
      <c r="W47" s="52">
        <f>N23</f>
        <v>184.72679447359479</v>
      </c>
      <c r="X47" s="53">
        <f>N52</f>
        <v>8.133973329571537E-4</v>
      </c>
      <c r="Z47">
        <f t="shared" si="1"/>
        <v>81.700538725623431</v>
      </c>
      <c r="AA47">
        <f t="shared" si="2"/>
        <v>6674.978028057094</v>
      </c>
      <c r="AB47">
        <f t="shared" si="3"/>
        <v>5.4294093255692415</v>
      </c>
    </row>
    <row r="48" spans="1:28" ht="15.75">
      <c r="A48" s="41"/>
      <c r="B48" s="54"/>
      <c r="C48" s="54"/>
      <c r="D48" s="13"/>
      <c r="O48" s="44"/>
      <c r="P48" s="55"/>
    </row>
    <row r="49" spans="1:16" ht="15.75">
      <c r="B49" s="56" t="s">
        <v>39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4"/>
      <c r="P49" s="55"/>
    </row>
    <row r="50" spans="1:16" ht="15.75">
      <c r="B50" s="34" t="s">
        <v>51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 t="s">
        <v>52</v>
      </c>
      <c r="O50" s="36"/>
      <c r="P50" s="55"/>
    </row>
    <row r="51" spans="1:16" ht="15.75">
      <c r="A51" s="41" t="s">
        <v>53</v>
      </c>
      <c r="B51" s="57">
        <v>0</v>
      </c>
      <c r="C51" s="58">
        <v>1</v>
      </c>
      <c r="D51" s="58">
        <v>2</v>
      </c>
      <c r="E51" s="58">
        <v>3</v>
      </c>
      <c r="F51" s="58">
        <v>4</v>
      </c>
      <c r="G51" s="58">
        <v>5</v>
      </c>
      <c r="H51" s="58">
        <v>6</v>
      </c>
      <c r="I51" s="58">
        <v>7</v>
      </c>
      <c r="J51" s="58">
        <v>8</v>
      </c>
      <c r="K51" s="58">
        <v>9</v>
      </c>
      <c r="L51" s="58">
        <v>10</v>
      </c>
      <c r="M51" s="58">
        <v>11</v>
      </c>
      <c r="N51" s="58">
        <v>12</v>
      </c>
      <c r="O51" s="59"/>
    </row>
    <row r="52" spans="1:16" ht="15.75">
      <c r="A52" s="41">
        <v>0</v>
      </c>
      <c r="B52" s="60">
        <f t="shared" ref="B52:N52" si="4">(FACT(B$20)/(FACT(B$20-$A52)*FACT($A52)))*$D$11^(B$20-$A52)*(1-$D$11)^($A52)</f>
        <v>1</v>
      </c>
      <c r="C52" s="60">
        <f t="shared" si="4"/>
        <v>0.5527455166424885</v>
      </c>
      <c r="D52" s="60">
        <f t="shared" si="4"/>
        <v>0.30552760616837155</v>
      </c>
      <c r="E52" s="60">
        <f t="shared" si="4"/>
        <v>0.16887901452007928</v>
      </c>
      <c r="F52" s="60">
        <f t="shared" si="4"/>
        <v>9.3347118130975543E-2</v>
      </c>
      <c r="G52" s="60">
        <f t="shared" si="4"/>
        <v>5.1597201038393485E-2</v>
      </c>
      <c r="H52" s="60">
        <f t="shared" si="4"/>
        <v>2.8520121545273152E-2</v>
      </c>
      <c r="I52" s="60">
        <f t="shared" si="4"/>
        <v>1.5764369318248574E-2</v>
      </c>
      <c r="J52" s="60">
        <f t="shared" si="4"/>
        <v>8.7136844633583024E-3</v>
      </c>
      <c r="K52" s="60">
        <f t="shared" si="4"/>
        <v>4.8164500205586103E-3</v>
      </c>
      <c r="L52" s="60">
        <f t="shared" si="4"/>
        <v>2.6622711549963932E-3</v>
      </c>
      <c r="M52" s="60">
        <f t="shared" si="4"/>
        <v>1.471558445010876E-3</v>
      </c>
      <c r="N52" s="60">
        <f t="shared" si="4"/>
        <v>8.133973329571537E-4</v>
      </c>
      <c r="O52" s="61"/>
    </row>
    <row r="53" spans="1:16" ht="15.75">
      <c r="A53" s="41">
        <f t="shared" ref="A53:A64" si="5">1+A52</f>
        <v>1</v>
      </c>
      <c r="B53" s="60"/>
      <c r="C53" s="60">
        <f t="shared" ref="C53:N53" si="6">(FACT(C$20)/(FACT(C$20-$A53)*FACT($A53)))*$D$11^(C$20-$A53)*(1-$D$11)^($A53)</f>
        <v>0.4472544833575115</v>
      </c>
      <c r="D53" s="60">
        <f t="shared" si="6"/>
        <v>0.49443582094823396</v>
      </c>
      <c r="E53" s="60">
        <f t="shared" si="6"/>
        <v>0.40994577494487677</v>
      </c>
      <c r="F53" s="60">
        <f t="shared" si="6"/>
        <v>0.30212758555641495</v>
      </c>
      <c r="G53" s="60">
        <f t="shared" si="6"/>
        <v>0.20874958546291028</v>
      </c>
      <c r="H53" s="60">
        <f t="shared" si="6"/>
        <v>0.13846247695872199</v>
      </c>
      <c r="I53" s="60">
        <f t="shared" si="6"/>
        <v>8.9290265589172038E-2</v>
      </c>
      <c r="J53" s="60">
        <f t="shared" si="6"/>
        <v>5.640547883912217E-2</v>
      </c>
      <c r="K53" s="60">
        <f t="shared" si="6"/>
        <v>3.507510998519723E-2</v>
      </c>
      <c r="L53" s="60">
        <f t="shared" si="6"/>
        <v>2.154178865562217E-2</v>
      </c>
      <c r="M53" s="60">
        <f t="shared" si="6"/>
        <v>1.3097839809840691E-2</v>
      </c>
      <c r="N53" s="60">
        <f t="shared" si="6"/>
        <v>7.897933344644668E-3</v>
      </c>
      <c r="O53" s="61"/>
    </row>
    <row r="54" spans="1:16" ht="15.75">
      <c r="A54" s="41">
        <f t="shared" si="5"/>
        <v>2</v>
      </c>
      <c r="B54" s="60"/>
      <c r="C54" s="60"/>
      <c r="D54" s="60">
        <f t="shared" ref="D54:N54" si="7">(FACT(D$20)/(FACT(D$20-$A54)*FACT($A54)))*$D$11^(D$20-$A54)*(1-$D$11)^($A54)</f>
        <v>0.20003657288339452</v>
      </c>
      <c r="E54" s="60">
        <f t="shared" si="7"/>
        <v>0.33170795647747409</v>
      </c>
      <c r="F54" s="60">
        <f t="shared" si="7"/>
        <v>0.36670017155513107</v>
      </c>
      <c r="G54" s="60">
        <f t="shared" si="7"/>
        <v>0.3378197929652168</v>
      </c>
      <c r="H54" s="60">
        <f t="shared" si="7"/>
        <v>0.28009256399192589</v>
      </c>
      <c r="I54" s="60">
        <f t="shared" si="7"/>
        <v>0.21674787258801093</v>
      </c>
      <c r="J54" s="60">
        <f t="shared" si="7"/>
        <v>0.1597418864197605</v>
      </c>
      <c r="K54" s="60">
        <f t="shared" si="7"/>
        <v>0.11352421483526084</v>
      </c>
      <c r="L54" s="60">
        <f t="shared" si="7"/>
        <v>7.84375009756864E-2</v>
      </c>
      <c r="M54" s="60">
        <f t="shared" si="7"/>
        <v>5.2990638556718463E-2</v>
      </c>
      <c r="N54" s="60">
        <f t="shared" si="7"/>
        <v>3.5148405463498469E-2</v>
      </c>
      <c r="O54" s="61"/>
    </row>
    <row r="55" spans="1:16" ht="15.75">
      <c r="A55" s="41">
        <f t="shared" si="5"/>
        <v>3</v>
      </c>
      <c r="B55" s="60"/>
      <c r="C55" s="60"/>
      <c r="D55" s="60"/>
      <c r="E55" s="60">
        <f t="shared" ref="E55:N55" si="8">(FACT(E$20)/(FACT(E$20-$A55)*FACT($A55)))*$D$11^(E$20-$A55)*(1-$D$11)^($A55)</f>
        <v>8.9467254057569806E-2</v>
      </c>
      <c r="F55" s="60">
        <f t="shared" si="8"/>
        <v>0.19781049426654479</v>
      </c>
      <c r="G55" s="60">
        <f t="shared" si="8"/>
        <v>0.27334715962666828</v>
      </c>
      <c r="H55" s="60">
        <f t="shared" si="8"/>
        <v>0.30218283394119905</v>
      </c>
      <c r="I55" s="60">
        <f t="shared" si="8"/>
        <v>0.29230286166780894</v>
      </c>
      <c r="J55" s="60">
        <f t="shared" si="8"/>
        <v>0.25851055406184142</v>
      </c>
      <c r="K55" s="60">
        <f t="shared" si="8"/>
        <v>0.21433582464367279</v>
      </c>
      <c r="L55" s="60">
        <f t="shared" si="8"/>
        <v>0.16924738018237245</v>
      </c>
      <c r="M55" s="60">
        <f t="shared" si="8"/>
        <v>0.12863225457402805</v>
      </c>
      <c r="N55" s="60">
        <f t="shared" si="8"/>
        <v>9.4801202681878985E-2</v>
      </c>
      <c r="O55" s="61"/>
    </row>
    <row r="56" spans="1:16" ht="15.75">
      <c r="A56" s="41">
        <f t="shared" si="5"/>
        <v>4</v>
      </c>
      <c r="B56" s="60"/>
      <c r="C56" s="60"/>
      <c r="D56" s="60"/>
      <c r="E56" s="60"/>
      <c r="F56" s="60">
        <f t="shared" ref="F56:N56" si="9">(FACT(F$20)/(FACT(F$20-$A56)*FACT($A56)))*$D$11^(F$20-$A56)*(1-$D$11)^($A56)</f>
        <v>4.0014630490933609E-2</v>
      </c>
      <c r="G56" s="60">
        <f t="shared" si="9"/>
        <v>0.11058953801984686</v>
      </c>
      <c r="H56" s="60">
        <f t="shared" si="9"/>
        <v>0.18338361398410313</v>
      </c>
      <c r="I56" s="60">
        <f t="shared" si="9"/>
        <v>0.23651709772928944</v>
      </c>
      <c r="J56" s="60">
        <f t="shared" si="9"/>
        <v>0.26146753075831608</v>
      </c>
      <c r="K56" s="60">
        <f t="shared" si="9"/>
        <v>0.26014500967363413</v>
      </c>
      <c r="L56" s="60">
        <f t="shared" si="9"/>
        <v>0.23965664629003014</v>
      </c>
      <c r="M56" s="60">
        <f t="shared" si="9"/>
        <v>0.20816578635346811</v>
      </c>
      <c r="N56" s="60">
        <f t="shared" si="9"/>
        <v>0.17259405768785643</v>
      </c>
      <c r="O56" s="61"/>
    </row>
    <row r="57" spans="1:16" ht="15.75">
      <c r="A57" s="41">
        <f t="shared" si="5"/>
        <v>5</v>
      </c>
      <c r="B57" s="60"/>
      <c r="C57" s="60"/>
      <c r="D57" s="60"/>
      <c r="E57" s="60"/>
      <c r="F57" s="60"/>
      <c r="G57" s="60">
        <f t="shared" ref="G57:N57" si="10">(FACT(G$20)/(FACT(G$20-$A57)*FACT($A57)))*$D$11^(G$20-$A57)*(1-$D$11)^($A57)</f>
        <v>1.7896722886964238E-2</v>
      </c>
      <c r="H57" s="60">
        <f t="shared" si="10"/>
        <v>5.9354000030174971E-2</v>
      </c>
      <c r="I57" s="60">
        <f t="shared" si="10"/>
        <v>0.11482680094017071</v>
      </c>
      <c r="J57" s="60">
        <f t="shared" si="10"/>
        <v>0.16925333176021023</v>
      </c>
      <c r="K57" s="60">
        <f t="shared" si="10"/>
        <v>0.21049654569133483</v>
      </c>
      <c r="L57" s="60">
        <f t="shared" si="10"/>
        <v>0.23270204379923212</v>
      </c>
      <c r="M57" s="60">
        <f t="shared" si="10"/>
        <v>0.23581252094321087</v>
      </c>
      <c r="N57" s="60">
        <f t="shared" si="10"/>
        <v>0.2234473949477532</v>
      </c>
      <c r="O57" s="61"/>
    </row>
    <row r="58" spans="1:16" ht="15.75">
      <c r="A58" s="41">
        <f t="shared" si="5"/>
        <v>6</v>
      </c>
      <c r="B58" s="60"/>
      <c r="C58" s="60"/>
      <c r="D58" s="60"/>
      <c r="E58" s="60"/>
      <c r="F58" s="60"/>
      <c r="G58" s="60"/>
      <c r="H58" s="60">
        <f t="shared" ref="H58:N58" si="11">(FACT(H$20)/(FACT(H$20-$A58)*FACT($A58)))*$D$11^(H$20-$A58)*(1-$D$11)^($A58)</f>
        <v>8.0043895486017411E-3</v>
      </c>
      <c r="I58" s="60">
        <f t="shared" si="11"/>
        <v>3.0970733055147231E-2</v>
      </c>
      <c r="J58" s="60">
        <f t="shared" si="11"/>
        <v>6.8475735373455818E-2</v>
      </c>
      <c r="K58" s="60">
        <f t="shared" si="11"/>
        <v>0.11354896717942548</v>
      </c>
      <c r="L58" s="60">
        <f t="shared" si="11"/>
        <v>0.15690920631953126</v>
      </c>
      <c r="M58" s="60">
        <f t="shared" si="11"/>
        <v>0.1908078926887147</v>
      </c>
      <c r="N58" s="60">
        <f t="shared" si="11"/>
        <v>0.21093641444737624</v>
      </c>
      <c r="O58" s="61"/>
    </row>
    <row r="59" spans="1:16" ht="15.75">
      <c r="A59" s="41">
        <f t="shared" si="5"/>
        <v>7</v>
      </c>
      <c r="B59" s="60"/>
      <c r="C59" s="60"/>
      <c r="D59" s="60"/>
      <c r="E59" s="60"/>
      <c r="F59" s="60"/>
      <c r="G59" s="60"/>
      <c r="H59" s="60"/>
      <c r="I59" s="60">
        <f t="shared" ref="I59:N59" si="12">(FACT(I$20)/(FACT(I$20-$A59)*FACT($A59)))*$D$11^(I$20-$A59)*(1-$D$11)^($A59)</f>
        <v>3.5799991121521365E-3</v>
      </c>
      <c r="J59" s="60">
        <f t="shared" si="12"/>
        <v>1.5830627670609464E-2</v>
      </c>
      <c r="K59" s="60">
        <f t="shared" si="12"/>
        <v>3.9376388117546561E-2</v>
      </c>
      <c r="L59" s="60">
        <f t="shared" si="12"/>
        <v>7.2550406645161394E-2</v>
      </c>
      <c r="M59" s="60">
        <f t="shared" si="12"/>
        <v>0.1102802580101815</v>
      </c>
      <c r="N59" s="60">
        <f t="shared" si="12"/>
        <v>0.14629660365433131</v>
      </c>
      <c r="O59" s="61"/>
    </row>
    <row r="60" spans="1:16" ht="15.75">
      <c r="A60" s="41">
        <f t="shared" si="5"/>
        <v>8</v>
      </c>
      <c r="B60" s="60"/>
      <c r="C60" s="60"/>
      <c r="D60" s="60"/>
      <c r="E60" s="60"/>
      <c r="F60" s="60"/>
      <c r="G60" s="60"/>
      <c r="H60" s="60"/>
      <c r="I60" s="60"/>
      <c r="J60" s="60">
        <f>(FACT(J$20)/(FACT(J$20-$A60)*FACT($A60)))*$D$11^(J$20-$A60)*(1-$D$11)^($A60)</f>
        <v>1.6011706533259537E-3</v>
      </c>
      <c r="K60" s="60">
        <f>(FACT(K$20)/(FACT(K$20-$A60)*FACT($A60)))*$D$11^(K$20-$A60)*(1-$D$11)^($A60)</f>
        <v>7.9653591000490073E-3</v>
      </c>
      <c r="L60" s="60">
        <f>(FACT(L$20)/(FACT(L$20-$A60)*FACT($A60)))*$D$11^(L$20-$A60)*(1-$D$11)^($A60)</f>
        <v>2.2014082654997675E-2</v>
      </c>
      <c r="M60" s="60">
        <f>(FACT(M$20)/(FACT(M$20-$A60)*FACT($A60)))*$D$11^(M$20-$A60)*(1-$D$11)^($A60)</f>
        <v>4.4616680132006169E-2</v>
      </c>
      <c r="N60" s="60">
        <f>(FACT(N$20)/(FACT(N$20-$A60)*FACT($A60)))*$D$11^(N$20-$A60)*(1-$D$11)^($A60)</f>
        <v>7.3985009731315207E-2</v>
      </c>
      <c r="O60" s="61"/>
    </row>
    <row r="61" spans="1:16" ht="15.75">
      <c r="A61" s="41">
        <f t="shared" si="5"/>
        <v>9</v>
      </c>
      <c r="B61" s="60"/>
      <c r="C61" s="60"/>
      <c r="D61" s="60"/>
      <c r="E61" s="60"/>
      <c r="F61" s="60"/>
      <c r="G61" s="60"/>
      <c r="H61" s="60"/>
      <c r="I61" s="60"/>
      <c r="J61" s="60"/>
      <c r="K61" s="60">
        <f>(FACT(K$20)/(FACT(K$20-$A61)*FACT($A61)))*$D$11^(K$20-$A61)*(1-$D$11)^($A61)</f>
        <v>7.1613075332050856E-4</v>
      </c>
      <c r="L61" s="60">
        <f>(FACT(L$20)/(FACT(L$20-$A61)*FACT($A61)))*$D$11^(L$20-$A61)*(1-$D$11)^($A61)</f>
        <v>3.9583806322771899E-3</v>
      </c>
      <c r="M61" s="60">
        <f>(FACT(M$20)/(FACT(M$20-$A61)*FACT($A61)))*$D$11^(M$20-$A61)*(1-$D$11)^($A61)</f>
        <v>1.2033874312106216E-2</v>
      </c>
      <c r="N61" s="60">
        <f>(FACT(N$20)/(FACT(N$20-$A61)*FACT($A61)))*$D$11^(N$20-$A61)*(1-$D$11)^($A61)</f>
        <v>2.6606680295423686E-2</v>
      </c>
      <c r="O61" s="61"/>
    </row>
    <row r="62" spans="1:16" ht="15.75">
      <c r="A62" s="41">
        <f t="shared" si="5"/>
        <v>10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>
        <f>(FACT(L$20)/(FACT(L$20-$A62)*FACT($A62)))*$D$11^(L$20-$A62)*(1-$D$11)^($A62)</f>
        <v>3.2029269009278957E-4</v>
      </c>
      <c r="M62" s="60">
        <f>(FACT(M$20)/(FACT(M$20-$A62)*FACT($A62)))*$D$11^(M$20-$A62)*(1-$D$11)^($A62)</f>
        <v>1.9474438330836657E-3</v>
      </c>
      <c r="N62" s="60">
        <f>(FACT(N$20)/(FACT(N$20-$A62)*FACT($A62)))*$D$11^(N$20-$A62)*(1-$D$11)^($A62)</f>
        <v>6.4586450859003544E-3</v>
      </c>
      <c r="O62" s="61"/>
    </row>
    <row r="63" spans="1:16" ht="15.75">
      <c r="A63" s="41">
        <f t="shared" si="5"/>
        <v>11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>
        <f>(FACT(M$20)/(FACT(M$20-$A63)*FACT($A63)))*$D$11^(M$20-$A63)*(1-$D$11)^($A63)</f>
        <v>1.4325234163063813E-4</v>
      </c>
      <c r="N63" s="60">
        <f>(FACT(N$20)/(FACT(N$20-$A63)*FACT($A63)))*$D$11^(N$20-$A63)*(1-$D$11)^($A63)</f>
        <v>9.5018507501848002E-4</v>
      </c>
      <c r="O63" s="61"/>
    </row>
    <row r="64" spans="1:16" ht="15.75">
      <c r="A64" s="41">
        <f t="shared" si="5"/>
        <v>12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>
        <f>(FACT(N$20)/(FACT(N$20-$A64)*FACT($A64)))*$D$11^(N$20-$A64)*(1-$D$11)^($A64)</f>
        <v>6.4070252045764795E-5</v>
      </c>
      <c r="O64" s="61"/>
    </row>
    <row r="65" spans="2:14" ht="15.75" thickBot="1"/>
    <row r="66" spans="2:14">
      <c r="B66" s="62" t="s">
        <v>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3"/>
    </row>
    <row r="67" spans="2:14">
      <c r="B67" s="64">
        <f>B52*B35</f>
        <v>100</v>
      </c>
      <c r="C67" s="10">
        <f>C52*C34</f>
        <v>58.174954619420738</v>
      </c>
      <c r="D67" s="10">
        <f>D52*D33</f>
        <v>33.843253449716627</v>
      </c>
      <c r="E67" s="10">
        <f>E52*E32</f>
        <v>19.688297336108192</v>
      </c>
      <c r="F67" s="10">
        <f>F52*F31</f>
        <v>11.453658040617565</v>
      </c>
      <c r="G67" s="10">
        <f>G52*G30</f>
        <v>6.6631603673929041</v>
      </c>
      <c r="H67" s="10">
        <f>H52*H29</f>
        <v>3.8762905199500506</v>
      </c>
      <c r="I67" s="10">
        <f>I52*I28</f>
        <v>2.2550302508978497</v>
      </c>
      <c r="J67" s="10">
        <f>J52*J27</f>
        <v>1.3118628251140338</v>
      </c>
      <c r="K67" s="10">
        <f>K52*K26</f>
        <v>0.76317560317914013</v>
      </c>
      <c r="L67" s="10">
        <f>L52*L25</f>
        <v>0.44397706081595523</v>
      </c>
      <c r="M67" s="10">
        <f>M52*M24</f>
        <v>0.25828345365032002</v>
      </c>
      <c r="N67" s="65">
        <f>N52*N23</f>
        <v>0.15025628195054627</v>
      </c>
    </row>
    <row r="68" spans="2:14">
      <c r="B68" s="64"/>
      <c r="C68" s="10">
        <f>C53*C36</f>
        <v>42.073801599484746</v>
      </c>
      <c r="D68" s="10">
        <f>D53*D35</f>
        <v>48.952829974330747</v>
      </c>
      <c r="E68" s="10">
        <f>E53*E34</f>
        <v>42.717429933733655</v>
      </c>
      <c r="F68" s="10">
        <f>F53*F33</f>
        <v>33.134460638043208</v>
      </c>
      <c r="G68" s="10">
        <f>G53*G32</f>
        <v>24.094946799464328</v>
      </c>
      <c r="H68" s="10">
        <f>H53*H31</f>
        <v>16.820669239394338</v>
      </c>
      <c r="I68" s="10">
        <f>I53*I30</f>
        <v>11.416319479483942</v>
      </c>
      <c r="J68" s="10">
        <f>J53*J29</f>
        <v>7.5902156301689958</v>
      </c>
      <c r="K68" s="10">
        <f>K53*K28</f>
        <v>4.9675550606628667</v>
      </c>
      <c r="L68" s="10">
        <f>L53*L27</f>
        <v>3.2109698913726246</v>
      </c>
      <c r="M68" s="10">
        <f>M53*M26</f>
        <v>2.0547783048642163</v>
      </c>
      <c r="N68" s="65">
        <f>N53*N25</f>
        <v>1.3040360142375933</v>
      </c>
    </row>
    <row r="69" spans="2:14">
      <c r="B69" s="64"/>
      <c r="C69" s="10"/>
      <c r="D69" s="10">
        <f>D54*D37</f>
        <v>17.702047810328054</v>
      </c>
      <c r="E69" s="10">
        <f>E54*E36</f>
        <v>30.89447484109952</v>
      </c>
      <c r="F69" s="10">
        <f>F54*F35</f>
        <v>35.945693437436013</v>
      </c>
      <c r="G69" s="10">
        <f>G54*G34</f>
        <v>34.852318074774168</v>
      </c>
      <c r="H69" s="10">
        <f>H54*H33</f>
        <v>30.412980335724068</v>
      </c>
      <c r="I69" s="10">
        <f>I54*I32</f>
        <v>24.76983251220917</v>
      </c>
      <c r="J69" s="10">
        <f>J54*J31</f>
        <v>19.213118431045615</v>
      </c>
      <c r="K69" s="10">
        <f>K54*K30</f>
        <v>14.370715193446729</v>
      </c>
      <c r="L69" s="10">
        <f>L54*L29</f>
        <v>10.450196302842295</v>
      </c>
      <c r="M69" s="10">
        <f>M54*M28</f>
        <v>7.4303740583341975</v>
      </c>
      <c r="N69" s="65">
        <f>N54*N27</f>
        <v>5.1871400837869581</v>
      </c>
    </row>
    <row r="70" spans="2:14">
      <c r="B70" s="64"/>
      <c r="C70" s="10"/>
      <c r="D70" s="10"/>
      <c r="E70" s="10">
        <f>E55*E38</f>
        <v>7.4479244747633588</v>
      </c>
      <c r="F70" s="10">
        <f>F55*F37</f>
        <v>17.33130673312926</v>
      </c>
      <c r="G70" s="10">
        <f>G55*G36</f>
        <v>25.206199567376395</v>
      </c>
      <c r="H70" s="10">
        <f>H55*H35</f>
        <v>29.32739031920369</v>
      </c>
      <c r="I70" s="10">
        <f>I55*I34</f>
        <v>29.857093016199997</v>
      </c>
      <c r="J70" s="10">
        <f>J55*J33</f>
        <v>27.79096050056414</v>
      </c>
      <c r="K70" s="10">
        <f>K55*K32</f>
        <v>24.251067989256505</v>
      </c>
      <c r="L70" s="10">
        <f>L55*L31</f>
        <v>20.154353996392626</v>
      </c>
      <c r="M70" s="10">
        <f>M55*M30</f>
        <v>16.121581150453377</v>
      </c>
      <c r="N70" s="65">
        <f>N55*N29</f>
        <v>12.504963357612455</v>
      </c>
    </row>
    <row r="71" spans="2:14">
      <c r="B71" s="64"/>
      <c r="C71" s="10"/>
      <c r="D71" s="10"/>
      <c r="E71" s="10"/>
      <c r="F71" s="10">
        <f>F56*F39</f>
        <v>3.1336249667914022</v>
      </c>
      <c r="G71" s="10">
        <f>G56*G38</f>
        <v>9.1149245118686828</v>
      </c>
      <c r="H71" s="10">
        <f>H56*H37</f>
        <v>15.907809595122192</v>
      </c>
      <c r="I71" s="10">
        <f>I56*I36</f>
        <v>21.593509030114451</v>
      </c>
      <c r="J71" s="10">
        <f>J56*J35</f>
        <v>25.124028158019204</v>
      </c>
      <c r="K71" s="10">
        <f>K56*K34</f>
        <v>26.308605563096698</v>
      </c>
      <c r="L71" s="10">
        <f>L56*L33</f>
        <v>25.508365578889844</v>
      </c>
      <c r="M71" s="10">
        <f>M56*M32</f>
        <v>23.319183013775159</v>
      </c>
      <c r="N71" s="65">
        <f>N56*N31</f>
        <v>20.348886203825053</v>
      </c>
    </row>
    <row r="72" spans="2:14">
      <c r="B72" s="64"/>
      <c r="C72" s="10"/>
      <c r="D72" s="10"/>
      <c r="E72" s="10"/>
      <c r="F72" s="10"/>
      <c r="G72" s="10">
        <f>G57*G40</f>
        <v>1.3184351513997346</v>
      </c>
      <c r="H72" s="10">
        <f>H57*H39</f>
        <v>4.6019943060797193</v>
      </c>
      <c r="I72" s="10">
        <f>I57*I38</f>
        <v>9.3702283470257139</v>
      </c>
      <c r="J72" s="10">
        <f>J57*J37</f>
        <v>14.536336236315485</v>
      </c>
      <c r="K72" s="10">
        <f>K57*K36</f>
        <v>19.027140769806628</v>
      </c>
      <c r="L72" s="10">
        <f>L57*L35</f>
        <v>22.138061016416621</v>
      </c>
      <c r="M72" s="10">
        <f>M57*M34</f>
        <v>23.611146074853419</v>
      </c>
      <c r="N72" s="65">
        <f>N57*N33</f>
        <v>23.547040310007624</v>
      </c>
    </row>
    <row r="73" spans="2:14">
      <c r="B73" s="64"/>
      <c r="C73" s="10"/>
      <c r="D73" s="10"/>
      <c r="E73" s="10"/>
      <c r="F73" s="10"/>
      <c r="G73" s="10"/>
      <c r="H73" s="10">
        <f>H58*H41</f>
        <v>0.55471578981779057</v>
      </c>
      <c r="I73" s="10">
        <f>I58*I40</f>
        <v>2.258939612952827</v>
      </c>
      <c r="J73" s="10">
        <f>J58*J39</f>
        <v>5.2565483788617042</v>
      </c>
      <c r="K73" s="10">
        <f>K58*K38</f>
        <v>9.173983901852079</v>
      </c>
      <c r="L73" s="10">
        <f>L58*L37</f>
        <v>13.342402429238524</v>
      </c>
      <c r="M73" s="10">
        <f>M58*M36</f>
        <v>17.076260428370009</v>
      </c>
      <c r="N73" s="65">
        <f>N58*N35</f>
        <v>19.868213509796714</v>
      </c>
    </row>
    <row r="74" spans="2:14">
      <c r="B74" s="64"/>
      <c r="C74" s="10"/>
      <c r="D74" s="10"/>
      <c r="E74" s="10"/>
      <c r="F74" s="10"/>
      <c r="G74" s="10"/>
      <c r="H74" s="10"/>
      <c r="I74" s="10">
        <f>I59*I42</f>
        <v>0.233390020848952</v>
      </c>
      <c r="J74" s="10">
        <f>J59*J41</f>
        <v>1.0861963097210758</v>
      </c>
      <c r="K74" s="10">
        <f>K59*K40</f>
        <v>2.8435239461612642</v>
      </c>
      <c r="L74" s="10">
        <f>L59*L39</f>
        <v>5.5140625509055914</v>
      </c>
      <c r="M74" s="10">
        <f>M59*M38</f>
        <v>8.8214593133584494</v>
      </c>
      <c r="N74" s="65">
        <f>N59*N37</f>
        <v>12.316511885560669</v>
      </c>
    </row>
    <row r="75" spans="2:14">
      <c r="B75" s="64"/>
      <c r="C75" s="10"/>
      <c r="D75" s="10"/>
      <c r="E75" s="10"/>
      <c r="F75" s="10"/>
      <c r="G75" s="10"/>
      <c r="H75" s="10"/>
      <c r="I75" s="10"/>
      <c r="J75" s="10">
        <f>J60*J43</f>
        <v>9.8196054324984156E-2</v>
      </c>
      <c r="K75" s="10">
        <f>K60*K42</f>
        <v>0.51412959037459161</v>
      </c>
      <c r="L75" s="10">
        <f>L60*L41</f>
        <v>1.4954732794271619</v>
      </c>
      <c r="M75" s="10">
        <f>M60*M40</f>
        <v>3.1899666393918213</v>
      </c>
      <c r="N75" s="65">
        <f>N60*N39</f>
        <v>5.567284934522557</v>
      </c>
    </row>
    <row r="76" spans="2:14">
      <c r="B76" s="64"/>
      <c r="C76" s="10"/>
      <c r="D76" s="10"/>
      <c r="E76" s="10"/>
      <c r="F76" s="10"/>
      <c r="G76" s="10"/>
      <c r="H76" s="10"/>
      <c r="I76" s="10"/>
      <c r="J76" s="10"/>
      <c r="K76" s="10">
        <f>K61*K44</f>
        <v>4.1314813075216096E-2</v>
      </c>
      <c r="L76" s="10">
        <f>L61*L43</f>
        <v>0.24034873757605477</v>
      </c>
      <c r="M76" s="10">
        <f>M61*M42</f>
        <v>0.7690252295727128</v>
      </c>
      <c r="N76" s="65">
        <f>N61*N41</f>
        <v>1.789520313263288</v>
      </c>
    </row>
    <row r="77" spans="2:14">
      <c r="B77" s="64"/>
      <c r="C77" s="10"/>
      <c r="D77" s="10"/>
      <c r="E77" s="10"/>
      <c r="F77" s="10"/>
      <c r="G77" s="10"/>
      <c r="H77" s="10"/>
      <c r="I77" s="10"/>
      <c r="J77" s="10"/>
      <c r="K77" s="10"/>
      <c r="L77" s="10">
        <f>L62*L45</f>
        <v>1.7382712484464404E-2</v>
      </c>
      <c r="M77" s="10">
        <f>M62*M44</f>
        <v>0.1112362360940771</v>
      </c>
      <c r="N77" s="65">
        <f>N62*N43</f>
        <v>0.38826977920848638</v>
      </c>
    </row>
    <row r="78" spans="2:14">
      <c r="B78" s="6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>
        <f>M63*M46</f>
        <v>7.3135679633224201E-3</v>
      </c>
      <c r="N78" s="65">
        <f>N63*N45</f>
        <v>5.1055978124679741E-2</v>
      </c>
    </row>
    <row r="79" spans="2:14" ht="15.75" thickBot="1">
      <c r="B79" s="66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>
        <f>N64*N47</f>
        <v>3.0770960747317521E-3</v>
      </c>
    </row>
    <row r="81" spans="1:15" ht="15.75">
      <c r="B81" s="34" t="s">
        <v>51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5" t="s">
        <v>52</v>
      </c>
    </row>
    <row r="82" spans="1:15" ht="15.75">
      <c r="B82" s="34">
        <v>0</v>
      </c>
      <c r="C82" s="34">
        <v>1</v>
      </c>
      <c r="D82" s="34">
        <v>2</v>
      </c>
      <c r="E82" s="34">
        <v>3</v>
      </c>
      <c r="F82" s="34">
        <v>4</v>
      </c>
      <c r="G82" s="34">
        <v>5</v>
      </c>
      <c r="H82" s="34">
        <v>6</v>
      </c>
      <c r="I82" s="34">
        <v>7</v>
      </c>
      <c r="J82" s="34">
        <v>8</v>
      </c>
      <c r="K82" s="34">
        <v>9</v>
      </c>
      <c r="L82" s="34">
        <v>10</v>
      </c>
      <c r="M82" s="34">
        <v>11</v>
      </c>
      <c r="N82" s="34">
        <v>12</v>
      </c>
    </row>
    <row r="83" spans="1:15" ht="15.75">
      <c r="A83" s="41" t="s">
        <v>53</v>
      </c>
      <c r="B83" s="32" t="s">
        <v>41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5" ht="15.75">
      <c r="A84" s="41">
        <v>0</v>
      </c>
      <c r="B84" s="43">
        <f>B11</f>
        <v>88.235294117647058</v>
      </c>
      <c r="C84" s="43">
        <f t="shared" ref="C84:N84" si="13">(1+$D$7)*B$84</f>
        <v>88.381021879581198</v>
      </c>
      <c r="D84" s="43">
        <f t="shared" si="13"/>
        <v>88.526990322762117</v>
      </c>
      <c r="E84" s="43">
        <f t="shared" si="13"/>
        <v>88.673199844694466</v>
      </c>
      <c r="F84" s="43">
        <f t="shared" si="13"/>
        <v>88.819650843539392</v>
      </c>
      <c r="G84" s="43">
        <f t="shared" si="13"/>
        <v>88.966343718115667</v>
      </c>
      <c r="H84" s="43">
        <f t="shared" si="13"/>
        <v>89.113278867900718</v>
      </c>
      <c r="I84" s="43">
        <f t="shared" si="13"/>
        <v>89.260456693031742</v>
      </c>
      <c r="J84" s="43">
        <f t="shared" si="13"/>
        <v>89.407877594306811</v>
      </c>
      <c r="K84" s="43">
        <f t="shared" si="13"/>
        <v>89.555541973185939</v>
      </c>
      <c r="L84" s="43">
        <f t="shared" si="13"/>
        <v>89.703450231792189</v>
      </c>
      <c r="M84" s="43">
        <f t="shared" si="13"/>
        <v>89.851602772912742</v>
      </c>
      <c r="N84" s="43">
        <f t="shared" si="13"/>
        <v>90.000000000000043</v>
      </c>
      <c r="O84" s="44"/>
    </row>
    <row r="85" spans="1:15" ht="15.75">
      <c r="A85" s="41">
        <f t="shared" ref="A85:A96" si="14">1+A84</f>
        <v>1</v>
      </c>
      <c r="B85" s="43"/>
      <c r="C85" s="43">
        <f t="shared" ref="C85:N85" si="15">(1+$D$7)*B$84</f>
        <v>88.381021879581198</v>
      </c>
      <c r="D85" s="43">
        <f t="shared" si="15"/>
        <v>88.526990322762117</v>
      </c>
      <c r="E85" s="43">
        <f t="shared" si="15"/>
        <v>88.673199844694466</v>
      </c>
      <c r="F85" s="43">
        <f t="shared" si="15"/>
        <v>88.819650843539392</v>
      </c>
      <c r="G85" s="43">
        <f t="shared" si="15"/>
        <v>88.966343718115667</v>
      </c>
      <c r="H85" s="43">
        <f t="shared" si="15"/>
        <v>89.113278867900718</v>
      </c>
      <c r="I85" s="43">
        <f t="shared" si="15"/>
        <v>89.260456693031742</v>
      </c>
      <c r="J85" s="43">
        <f t="shared" si="15"/>
        <v>89.407877594306811</v>
      </c>
      <c r="K85" s="43">
        <f t="shared" si="15"/>
        <v>89.555541973185939</v>
      </c>
      <c r="L85" s="43">
        <f t="shared" si="15"/>
        <v>89.703450231792189</v>
      </c>
      <c r="M85" s="43">
        <f t="shared" si="15"/>
        <v>89.851602772912742</v>
      </c>
      <c r="N85" s="43">
        <f t="shared" si="15"/>
        <v>90.000000000000043</v>
      </c>
      <c r="O85" s="44"/>
    </row>
    <row r="86" spans="1:15" ht="15.75">
      <c r="A86" s="41">
        <f t="shared" si="14"/>
        <v>2</v>
      </c>
      <c r="B86" s="43"/>
      <c r="C86" s="43"/>
      <c r="D86" s="43">
        <f t="shared" ref="D86:N86" si="16">(1+$D$7)*C$84</f>
        <v>88.526990322762117</v>
      </c>
      <c r="E86" s="43">
        <f t="shared" si="16"/>
        <v>88.673199844694466</v>
      </c>
      <c r="F86" s="43">
        <f t="shared" si="16"/>
        <v>88.819650843539392</v>
      </c>
      <c r="G86" s="43">
        <f t="shared" si="16"/>
        <v>88.966343718115667</v>
      </c>
      <c r="H86" s="43">
        <f t="shared" si="16"/>
        <v>89.113278867900718</v>
      </c>
      <c r="I86" s="43">
        <f t="shared" si="16"/>
        <v>89.260456693031742</v>
      </c>
      <c r="J86" s="43">
        <f t="shared" si="16"/>
        <v>89.407877594306811</v>
      </c>
      <c r="K86" s="43">
        <f t="shared" si="16"/>
        <v>89.555541973185939</v>
      </c>
      <c r="L86" s="43">
        <f t="shared" si="16"/>
        <v>89.703450231792189</v>
      </c>
      <c r="M86" s="43">
        <f t="shared" si="16"/>
        <v>89.851602772912742</v>
      </c>
      <c r="N86" s="43">
        <f t="shared" si="16"/>
        <v>90.000000000000043</v>
      </c>
      <c r="O86" s="44"/>
    </row>
    <row r="87" spans="1:15" ht="15.75">
      <c r="A87" s="41">
        <f t="shared" si="14"/>
        <v>3</v>
      </c>
      <c r="B87" s="43"/>
      <c r="C87" s="43"/>
      <c r="D87" s="43"/>
      <c r="E87" s="43">
        <f t="shared" ref="E87:N87" si="17">(1+$D$7)*D$84</f>
        <v>88.673199844694466</v>
      </c>
      <c r="F87" s="43">
        <f t="shared" si="17"/>
        <v>88.819650843539392</v>
      </c>
      <c r="G87" s="43">
        <f t="shared" si="17"/>
        <v>88.966343718115667</v>
      </c>
      <c r="H87" s="43">
        <f t="shared" si="17"/>
        <v>89.113278867900718</v>
      </c>
      <c r="I87" s="43">
        <f t="shared" si="17"/>
        <v>89.260456693031742</v>
      </c>
      <c r="J87" s="43">
        <f t="shared" si="17"/>
        <v>89.407877594306811</v>
      </c>
      <c r="K87" s="43">
        <f t="shared" si="17"/>
        <v>89.555541973185939</v>
      </c>
      <c r="L87" s="43">
        <f t="shared" si="17"/>
        <v>89.703450231792189</v>
      </c>
      <c r="M87" s="43">
        <f t="shared" si="17"/>
        <v>89.851602772912742</v>
      </c>
      <c r="N87" s="43">
        <f t="shared" si="17"/>
        <v>90.000000000000043</v>
      </c>
      <c r="O87" s="44"/>
    </row>
    <row r="88" spans="1:15" ht="15.75">
      <c r="A88" s="41">
        <f t="shared" si="14"/>
        <v>4</v>
      </c>
      <c r="B88" s="43"/>
      <c r="C88" s="43"/>
      <c r="D88" s="43"/>
      <c r="E88" s="43"/>
      <c r="F88" s="43">
        <f t="shared" ref="F88:N88" si="18">(1+$D$7)*E$84</f>
        <v>88.819650843539392</v>
      </c>
      <c r="G88" s="43">
        <f t="shared" si="18"/>
        <v>88.966343718115667</v>
      </c>
      <c r="H88" s="43">
        <f t="shared" si="18"/>
        <v>89.113278867900718</v>
      </c>
      <c r="I88" s="43">
        <f t="shared" si="18"/>
        <v>89.260456693031742</v>
      </c>
      <c r="J88" s="43">
        <f t="shared" si="18"/>
        <v>89.407877594306811</v>
      </c>
      <c r="K88" s="43">
        <f t="shared" si="18"/>
        <v>89.555541973185939</v>
      </c>
      <c r="L88" s="43">
        <f t="shared" si="18"/>
        <v>89.703450231792189</v>
      </c>
      <c r="M88" s="43">
        <f t="shared" si="18"/>
        <v>89.851602772912742</v>
      </c>
      <c r="N88" s="43">
        <f t="shared" si="18"/>
        <v>90.000000000000043</v>
      </c>
      <c r="O88" s="44"/>
    </row>
    <row r="89" spans="1:15" ht="15.75">
      <c r="A89" s="41">
        <f t="shared" si="14"/>
        <v>5</v>
      </c>
      <c r="B89" s="43"/>
      <c r="C89" s="43"/>
      <c r="D89" s="43"/>
      <c r="E89" s="43"/>
      <c r="F89" s="43"/>
      <c r="G89" s="43">
        <f t="shared" ref="G89:N89" si="19">(1+$D$7)*F$84</f>
        <v>88.966343718115667</v>
      </c>
      <c r="H89" s="43">
        <f t="shared" si="19"/>
        <v>89.113278867900718</v>
      </c>
      <c r="I89" s="43">
        <f t="shared" si="19"/>
        <v>89.260456693031742</v>
      </c>
      <c r="J89" s="43">
        <f t="shared" si="19"/>
        <v>89.407877594306811</v>
      </c>
      <c r="K89" s="43">
        <f t="shared" si="19"/>
        <v>89.555541973185939</v>
      </c>
      <c r="L89" s="43">
        <f t="shared" si="19"/>
        <v>89.703450231792189</v>
      </c>
      <c r="M89" s="43">
        <f t="shared" si="19"/>
        <v>89.851602772912742</v>
      </c>
      <c r="N89" s="43">
        <f t="shared" si="19"/>
        <v>90.000000000000043</v>
      </c>
      <c r="O89" s="44"/>
    </row>
    <row r="90" spans="1:15" ht="15.75">
      <c r="A90" s="41">
        <f t="shared" si="14"/>
        <v>6</v>
      </c>
      <c r="B90" s="43"/>
      <c r="C90" s="43"/>
      <c r="D90" s="43"/>
      <c r="E90" s="43"/>
      <c r="F90" s="43"/>
      <c r="G90" s="43"/>
      <c r="H90" s="43">
        <f t="shared" ref="H90:N90" si="20">(1+$D$7)*G$84</f>
        <v>89.113278867900718</v>
      </c>
      <c r="I90" s="43">
        <f t="shared" si="20"/>
        <v>89.260456693031742</v>
      </c>
      <c r="J90" s="43">
        <f t="shared" si="20"/>
        <v>89.407877594306811</v>
      </c>
      <c r="K90" s="43">
        <f t="shared" si="20"/>
        <v>89.555541973185939</v>
      </c>
      <c r="L90" s="43">
        <f t="shared" si="20"/>
        <v>89.703450231792189</v>
      </c>
      <c r="M90" s="43">
        <f t="shared" si="20"/>
        <v>89.851602772912742</v>
      </c>
      <c r="N90" s="43">
        <f t="shared" si="20"/>
        <v>90.000000000000043</v>
      </c>
      <c r="O90" s="44"/>
    </row>
    <row r="91" spans="1:15" ht="15.75">
      <c r="A91" s="41">
        <f t="shared" si="14"/>
        <v>7</v>
      </c>
      <c r="B91" s="43"/>
      <c r="C91" s="43"/>
      <c r="D91" s="43"/>
      <c r="E91" s="43"/>
      <c r="F91" s="43"/>
      <c r="G91" s="43"/>
      <c r="H91" s="43"/>
      <c r="I91" s="43">
        <f t="shared" ref="I91:N91" si="21">(1+$D$7)*H$84</f>
        <v>89.260456693031742</v>
      </c>
      <c r="J91" s="43">
        <f t="shared" si="21"/>
        <v>89.407877594306811</v>
      </c>
      <c r="K91" s="43">
        <f t="shared" si="21"/>
        <v>89.555541973185939</v>
      </c>
      <c r="L91" s="43">
        <f t="shared" si="21"/>
        <v>89.703450231792189</v>
      </c>
      <c r="M91" s="43">
        <f t="shared" si="21"/>
        <v>89.851602772912742</v>
      </c>
      <c r="N91" s="43">
        <f t="shared" si="21"/>
        <v>90.000000000000043</v>
      </c>
      <c r="O91" s="44"/>
    </row>
    <row r="92" spans="1:15" ht="15.75">
      <c r="A92" s="41">
        <f t="shared" si="14"/>
        <v>8</v>
      </c>
      <c r="B92" s="43"/>
      <c r="C92" s="43"/>
      <c r="D92" s="43"/>
      <c r="E92" s="43"/>
      <c r="F92" s="43"/>
      <c r="G92" s="43"/>
      <c r="H92" s="43"/>
      <c r="I92" s="43"/>
      <c r="J92" s="43">
        <f>(1+$D$7)*I$84</f>
        <v>89.407877594306811</v>
      </c>
      <c r="K92" s="43">
        <f>(1+$D$7)*J$84</f>
        <v>89.555541973185939</v>
      </c>
      <c r="L92" s="43">
        <f>(1+$D$7)*K$84</f>
        <v>89.703450231792189</v>
      </c>
      <c r="M92" s="43">
        <f>(1+$D$7)*L$84</f>
        <v>89.851602772912742</v>
      </c>
      <c r="N92" s="43">
        <f>(1+$D$7)*M$84</f>
        <v>90.000000000000043</v>
      </c>
      <c r="O92" s="44"/>
    </row>
    <row r="93" spans="1:15" ht="15.75">
      <c r="A93" s="41">
        <f t="shared" si="14"/>
        <v>9</v>
      </c>
      <c r="B93" s="43"/>
      <c r="C93" s="43"/>
      <c r="D93" s="43"/>
      <c r="E93" s="43"/>
      <c r="F93" s="43"/>
      <c r="G93" s="43"/>
      <c r="H93" s="43"/>
      <c r="I93" s="43"/>
      <c r="J93" s="43"/>
      <c r="K93" s="43">
        <f>(1+$D$7)*J$84</f>
        <v>89.555541973185939</v>
      </c>
      <c r="L93" s="43">
        <f>(1+$D$7)*K$84</f>
        <v>89.703450231792189</v>
      </c>
      <c r="M93" s="43">
        <f>(1+$D$7)*L$84</f>
        <v>89.851602772912742</v>
      </c>
      <c r="N93" s="43">
        <f>(1+$D$7)*M$84</f>
        <v>90.000000000000043</v>
      </c>
      <c r="O93" s="44"/>
    </row>
    <row r="94" spans="1:15" ht="15.75">
      <c r="A94" s="41">
        <f t="shared" si="14"/>
        <v>10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>
        <f>(1+$D$7)*K$84</f>
        <v>89.703450231792189</v>
      </c>
      <c r="M94" s="43">
        <f>(1+$D$7)*L$84</f>
        <v>89.851602772912742</v>
      </c>
      <c r="N94" s="43">
        <f>(1+$D$7)*M$84</f>
        <v>90.000000000000043</v>
      </c>
      <c r="O94" s="44"/>
    </row>
    <row r="95" spans="1:15" ht="15.75">
      <c r="A95" s="41">
        <f t="shared" si="14"/>
        <v>11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>
        <f>(1+$D$7)*L$84</f>
        <v>89.851602772912742</v>
      </c>
      <c r="N95" s="43">
        <f>(1+$D$7)*M$84</f>
        <v>90.000000000000043</v>
      </c>
      <c r="O95" s="44"/>
    </row>
    <row r="96" spans="1:15" ht="15.75">
      <c r="A96" s="41">
        <f t="shared" si="14"/>
        <v>12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>
        <f>(1+$D$7)*M$84</f>
        <v>90.000000000000043</v>
      </c>
      <c r="O96" s="44"/>
    </row>
    <row r="97" spans="1:15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44"/>
    </row>
    <row r="98" spans="1:15" ht="15.75">
      <c r="A98" s="34"/>
      <c r="B98" s="34" t="s">
        <v>51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5" t="s">
        <v>52</v>
      </c>
    </row>
    <row r="99" spans="1:15" ht="15.75">
      <c r="A99" s="34"/>
      <c r="B99" s="34">
        <v>0</v>
      </c>
      <c r="C99" s="34">
        <v>1</v>
      </c>
      <c r="D99" s="34">
        <v>2</v>
      </c>
      <c r="E99" s="34">
        <v>3</v>
      </c>
      <c r="F99" s="34">
        <v>4</v>
      </c>
      <c r="G99" s="34">
        <v>5</v>
      </c>
      <c r="H99" s="34">
        <v>6</v>
      </c>
      <c r="I99" s="34">
        <v>7</v>
      </c>
      <c r="J99" s="34">
        <v>8</v>
      </c>
      <c r="K99" s="34">
        <v>9</v>
      </c>
      <c r="L99" s="34">
        <v>10</v>
      </c>
      <c r="M99" s="34">
        <v>11</v>
      </c>
      <c r="N99" s="34">
        <v>12</v>
      </c>
    </row>
    <row r="100" spans="1:15" ht="15.75">
      <c r="A100" s="41" t="s">
        <v>53</v>
      </c>
      <c r="B100" s="32" t="s">
        <v>42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5" ht="15.75">
      <c r="A101" s="41">
        <v>0</v>
      </c>
      <c r="B101" s="43">
        <f t="shared" ref="B101:M101" si="22">(1/(1+$D$4))*(($D$11*C101+(1-$D$11)*C102)-((C101-C102)/((1+$D$9)-1/(1+$D$9)))*($D$5-$D$4))</f>
        <v>11.094493935472084</v>
      </c>
      <c r="C101" s="43">
        <f t="shared" si="22"/>
        <v>14.673613343161227</v>
      </c>
      <c r="D101" s="43">
        <f t="shared" si="22"/>
        <v>19.006882052313212</v>
      </c>
      <c r="E101" s="43">
        <f t="shared" si="22"/>
        <v>24.09535435677936</v>
      </c>
      <c r="F101" s="43">
        <f t="shared" si="22"/>
        <v>29.89074690995076</v>
      </c>
      <c r="G101" s="43">
        <f t="shared" si="22"/>
        <v>36.306335392267968</v>
      </c>
      <c r="H101" s="43">
        <f t="shared" si="22"/>
        <v>43.245488543265154</v>
      </c>
      <c r="I101" s="43">
        <f t="shared" si="22"/>
        <v>50.639501263142982</v>
      </c>
      <c r="J101" s="43">
        <f t="shared" si="22"/>
        <v>58.472650589628891</v>
      </c>
      <c r="K101" s="43">
        <f t="shared" si="22"/>
        <v>66.770320694234442</v>
      </c>
      <c r="L101" s="43">
        <f t="shared" si="22"/>
        <v>75.559361380816043</v>
      </c>
      <c r="M101" s="43">
        <f t="shared" si="22"/>
        <v>84.868172704089091</v>
      </c>
      <c r="N101" s="43">
        <f>MAX(N23-N84,0)</f>
        <v>94.726794473594751</v>
      </c>
      <c r="O101" s="44"/>
    </row>
    <row r="102" spans="1:15" ht="15.75">
      <c r="A102" s="41">
        <f t="shared" ref="A102:A113" si="23">1+A101</f>
        <v>1</v>
      </c>
      <c r="B102" s="43"/>
      <c r="C102" s="43">
        <f t="shared" ref="C102:M102" si="24">(1/(1+$D$4))*(($D$11*D102+(1-$D$11)*D103)-((D102-D103)/((1+$D$9)-1/(1+$D$9)))*($D$5-$D$4))</f>
        <v>7.4519889036311229</v>
      </c>
      <c r="D102" s="43">
        <f t="shared" si="24"/>
        <v>10.269914118683941</v>
      </c>
      <c r="E102" s="43">
        <f t="shared" si="24"/>
        <v>13.844732902515061</v>
      </c>
      <c r="F102" s="43">
        <f t="shared" si="24"/>
        <v>18.228493786851292</v>
      </c>
      <c r="G102" s="43">
        <f t="shared" si="24"/>
        <v>23.412395488251828</v>
      </c>
      <c r="H102" s="43">
        <f t="shared" si="24"/>
        <v>29.319511316836586</v>
      </c>
      <c r="I102" s="43">
        <f t="shared" si="24"/>
        <v>35.82385797410128</v>
      </c>
      <c r="J102" s="43">
        <f t="shared" si="24"/>
        <v>42.801625736472616</v>
      </c>
      <c r="K102" s="43">
        <f t="shared" si="24"/>
        <v>50.194528799333476</v>
      </c>
      <c r="L102" s="43">
        <f t="shared" si="24"/>
        <v>58.026565694659858</v>
      </c>
      <c r="M102" s="43">
        <f t="shared" si="24"/>
        <v>66.323120587027987</v>
      </c>
      <c r="N102" s="43">
        <f>MAX(N25-N85,0)</f>
        <v>75.111043273341565</v>
      </c>
      <c r="O102" s="44"/>
    </row>
    <row r="103" spans="1:15" ht="15.75">
      <c r="A103" s="41">
        <f t="shared" si="23"/>
        <v>2</v>
      </c>
      <c r="B103" s="43"/>
      <c r="C103" s="43"/>
      <c r="D103" s="43">
        <f t="shared" ref="D103:M103" si="25">(1/(1+$D$4))*(($D$11*E103+(1-$D$11)*E104)-((E103-E104)/((1+$D$9)-1/(1+$D$9)))*($D$5-$D$4))</f>
        <v>4.5776365032009565</v>
      </c>
      <c r="E103" s="43">
        <f t="shared" si="25"/>
        <v>6.6276617525564143</v>
      </c>
      <c r="F103" s="43">
        <f t="shared" si="25"/>
        <v>9.3846378701576736</v>
      </c>
      <c r="G103" s="43">
        <f t="shared" si="25"/>
        <v>12.963764328971715</v>
      </c>
      <c r="H103" s="43">
        <f t="shared" si="25"/>
        <v>17.42660053798426</v>
      </c>
      <c r="I103" s="43">
        <f t="shared" si="25"/>
        <v>22.746527178139793</v>
      </c>
      <c r="J103" s="43">
        <f t="shared" si="25"/>
        <v>28.794674173000587</v>
      </c>
      <c r="K103" s="43">
        <f t="shared" si="25"/>
        <v>35.378885510291767</v>
      </c>
      <c r="L103" s="43">
        <f t="shared" si="25"/>
        <v>42.355540841503583</v>
      </c>
      <c r="M103" s="43">
        <f t="shared" si="25"/>
        <v>49.747328692127027</v>
      </c>
      <c r="N103" s="43">
        <f>MAX(N27-N86,0)</f>
        <v>57.578247587185373</v>
      </c>
      <c r="O103" s="44"/>
    </row>
    <row r="104" spans="1:15" ht="15.75">
      <c r="A104" s="41">
        <f t="shared" si="23"/>
        <v>3</v>
      </c>
      <c r="B104" s="43"/>
      <c r="C104" s="43"/>
      <c r="D104" s="43"/>
      <c r="E104" s="43">
        <f t="shared" ref="E104:M104" si="26">(1/(1+$D$4))*(($D$11*F104+(1-$D$11)*F105)-((F104-F105)/((1+$D$9)-1/(1+$D$9)))*($D$5-$D$4))</f>
        <v>2.4822719715191051</v>
      </c>
      <c r="F104" s="43">
        <f t="shared" si="26"/>
        <v>3.8121076934257778</v>
      </c>
      <c r="G104" s="43">
        <f t="shared" si="26"/>
        <v>5.733433206736783</v>
      </c>
      <c r="H104" s="43">
        <f t="shared" si="26"/>
        <v>8.4174689162677954</v>
      </c>
      <c r="I104" s="43">
        <f t="shared" si="26"/>
        <v>12.017217082430411</v>
      </c>
      <c r="J104" s="43">
        <f t="shared" si="26"/>
        <v>16.611595959626719</v>
      </c>
      <c r="K104" s="43">
        <f t="shared" si="26"/>
        <v>22.136484335138906</v>
      </c>
      <c r="L104" s="43">
        <f t="shared" si="26"/>
        <v>28.348589278031554</v>
      </c>
      <c r="M104" s="43">
        <f t="shared" si="26"/>
        <v>34.931685403085318</v>
      </c>
      <c r="N104" s="43">
        <f>MAX(N29-N87,0)</f>
        <v>41.907222734029133</v>
      </c>
      <c r="O104" s="44"/>
    </row>
    <row r="105" spans="1:15" ht="15.75">
      <c r="A105" s="41">
        <f t="shared" si="23"/>
        <v>4</v>
      </c>
      <c r="B105" s="43"/>
      <c r="C105" s="43"/>
      <c r="D105" s="43"/>
      <c r="E105" s="43"/>
      <c r="F105" s="43">
        <f t="shared" ref="F105:M105" si="27">(1/(1+$D$4))*(($D$11*G105+(1-$D$11)*G106)-((G105-G106)/((1+$D$9)-1/(1+$D$9)))*($D$5-$D$4))</f>
        <v>1.1205482094708303</v>
      </c>
      <c r="G105" s="43">
        <f t="shared" si="27"/>
        <v>1.8458585390543654</v>
      </c>
      <c r="H105" s="43">
        <f t="shared" si="27"/>
        <v>2.988714770421641</v>
      </c>
      <c r="I105" s="43">
        <f t="shared" si="27"/>
        <v>4.7400356077942849</v>
      </c>
      <c r="J105" s="43">
        <f t="shared" si="27"/>
        <v>7.3301645825327872</v>
      </c>
      <c r="K105" s="43">
        <f t="shared" si="27"/>
        <v>10.986247871612743</v>
      </c>
      <c r="L105" s="43">
        <f t="shared" si="27"/>
        <v>15.82900654876696</v>
      </c>
      <c r="M105" s="43">
        <f t="shared" si="27"/>
        <v>21.689284227932447</v>
      </c>
      <c r="N105" s="43">
        <f>MAX(N31-N88,0)</f>
        <v>27.900271170557076</v>
      </c>
      <c r="O105" s="44"/>
    </row>
    <row r="106" spans="1:15" ht="15.75">
      <c r="A106" s="41">
        <f t="shared" si="23"/>
        <v>5</v>
      </c>
      <c r="B106" s="43"/>
      <c r="C106" s="43"/>
      <c r="D106" s="43"/>
      <c r="E106" s="43"/>
      <c r="F106" s="43"/>
      <c r="G106" s="43">
        <f t="shared" ref="G106:M106" si="28">(1/(1+$D$4))*(($D$11*H106+(1-$D$11)*H107)-((H106-H107)/((1+$D$9)-1/(1+$D$9)))*($D$5-$D$4))</f>
        <v>0.37665960934883669</v>
      </c>
      <c r="H106" s="43">
        <f t="shared" si="28"/>
        <v>0.67413680223532024</v>
      </c>
      <c r="I106" s="43">
        <f t="shared" si="28"/>
        <v>1.1939741695832846</v>
      </c>
      <c r="J106" s="43">
        <f t="shared" si="28"/>
        <v>2.0873166816434132</v>
      </c>
      <c r="K106" s="43">
        <f t="shared" si="28"/>
        <v>3.5889832241446147</v>
      </c>
      <c r="L106" s="43">
        <f t="shared" si="28"/>
        <v>6.0372616609711898</v>
      </c>
      <c r="M106" s="43">
        <f t="shared" si="28"/>
        <v>9.8530658834077141</v>
      </c>
      <c r="N106" s="43">
        <f>MAX(N33-N89,0)</f>
        <v>15.380688441292492</v>
      </c>
      <c r="O106" s="44"/>
    </row>
    <row r="107" spans="1:15" ht="15.75">
      <c r="A107" s="41">
        <f t="shared" si="23"/>
        <v>6</v>
      </c>
      <c r="B107" s="43"/>
      <c r="C107" s="43"/>
      <c r="D107" s="43"/>
      <c r="E107" s="43"/>
      <c r="F107" s="43"/>
      <c r="G107" s="43"/>
      <c r="H107" s="43">
        <f t="shared" ref="H107:M107" si="29">(1/(1+$D$4))*(($D$11*I107+(1-$D$11)*I108)-((I107-I108)/((1+$D$9)-1/(1+$D$9)))*($D$5-$D$4))</f>
        <v>7.1141229377328544E-2</v>
      </c>
      <c r="I107" s="43">
        <f t="shared" si="29"/>
        <v>0.1403285482911312</v>
      </c>
      <c r="J107" s="43">
        <f t="shared" si="29"/>
        <v>0.27680294026197794</v>
      </c>
      <c r="K107" s="43">
        <f t="shared" si="29"/>
        <v>0.54600342318597572</v>
      </c>
      <c r="L107" s="43">
        <f t="shared" si="29"/>
        <v>1.0770107349605846</v>
      </c>
      <c r="M107" s="43">
        <f t="shared" si="29"/>
        <v>2.1244411187972432</v>
      </c>
      <c r="N107" s="43">
        <f>MAX(N35-N90,0)</f>
        <v>4.1905339665919428</v>
      </c>
      <c r="O107" s="44"/>
    </row>
    <row r="108" spans="1:15" ht="15.75">
      <c r="A108" s="41">
        <f t="shared" si="23"/>
        <v>7</v>
      </c>
      <c r="B108" s="43"/>
      <c r="C108" s="43"/>
      <c r="D108" s="43"/>
      <c r="E108" s="43"/>
      <c r="F108" s="43"/>
      <c r="G108" s="43"/>
      <c r="H108" s="43"/>
      <c r="I108" s="43">
        <f>(1/(1+$D$4))*(($D$11*J108+(1-$D$11)*J109)-((J108-J109)/((1+$D$9)-1/(1+$D$9)))*($D$5-$D$4))</f>
        <v>0</v>
      </c>
      <c r="J108" s="43">
        <f>(1/(1+$D$4))*(($D$11*K108+(1-$D$11)*K109)-((K108-K109)/((1+$D$9)-1/(1+$D$9)))*($D$5-$D$4))</f>
        <v>0</v>
      </c>
      <c r="K108" s="43">
        <f>(1/(1+$D$4))*(($D$11*L108+(1-$D$11)*L109)-((L108-L109)/((1+$D$9)-1/(1+$D$9)))*($D$5-$D$4))</f>
        <v>0</v>
      </c>
      <c r="L108" s="43">
        <f>(1/(1+$D$4))*(($D$11*M108+(1-$D$11)*M109)-((M108-M109)/((1+$D$9)-1/(1+$D$9)))*($D$5-$D$4))</f>
        <v>0</v>
      </c>
      <c r="M108" s="43">
        <f>(1/(1+$D$4))*(($D$11*N108+(1-$D$11)*N109)-((N108-N109)/((1+$D$9)-1/(1+$D$9)))*($D$5-$D$4))</f>
        <v>0</v>
      </c>
      <c r="N108" s="43">
        <f>MAX(N37-N91,0)</f>
        <v>0</v>
      </c>
      <c r="O108" s="44"/>
    </row>
    <row r="109" spans="1:15" ht="15.75">
      <c r="A109" s="41">
        <f t="shared" si="23"/>
        <v>8</v>
      </c>
      <c r="B109" s="43"/>
      <c r="C109" s="43"/>
      <c r="D109" s="43"/>
      <c r="E109" s="43"/>
      <c r="F109" s="43"/>
      <c r="G109" s="43"/>
      <c r="H109" s="43"/>
      <c r="I109" s="43"/>
      <c r="J109" s="43">
        <f>(1/(1+$D$4))*(($D$11*K109+(1-$D$11)*K110)-((K109-K110)/((1+$D$9)-1/(1+$D$9)))*($D$5-$D$4))</f>
        <v>0</v>
      </c>
      <c r="K109" s="43">
        <f>(1/(1+$D$4))*(($D$11*L109+(1-$D$11)*L110)-((L109-L110)/((1+$D$9)-1/(1+$D$9)))*($D$5-$D$4))</f>
        <v>0</v>
      </c>
      <c r="L109" s="43">
        <f>(1/(1+$D$4))*(($D$11*M109+(1-$D$11)*M110)-((M109-M110)/((1+$D$9)-1/(1+$D$9)))*($D$5-$D$4))</f>
        <v>0</v>
      </c>
      <c r="M109" s="43">
        <f>(1/(1+$D$4))*(($D$11*N109+(1-$D$11)*N110)-((N109-N110)/((1+$D$9)-1/(1+$D$9)))*($D$5-$D$4))</f>
        <v>0</v>
      </c>
      <c r="N109" s="43">
        <f>MAX(N39-N92,0)</f>
        <v>0</v>
      </c>
      <c r="O109" s="44"/>
    </row>
    <row r="110" spans="1:15" ht="15.75">
      <c r="A110" s="41">
        <f t="shared" si="23"/>
        <v>9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>
        <f>(1/(1+$D$4))*(($D$11*L110+(1-$D$11)*L111)-((L110-L111)/((1+$D$9)-1/(1+$D$9)))*($D$5-$D$4))</f>
        <v>0</v>
      </c>
      <c r="L110" s="43">
        <f>(1/(1+$D$4))*(($D$11*M110+(1-$D$11)*M111)-((M110-M111)/((1+$D$9)-1/(1+$D$9)))*($D$5-$D$4))</f>
        <v>0</v>
      </c>
      <c r="M110" s="43">
        <f>(1/(1+$D$4))*(($D$11*N110+(1-$D$11)*N111)-((N110-N111)/((1+$D$9)-1/(1+$D$9)))*($D$5-$D$4))</f>
        <v>0</v>
      </c>
      <c r="N110" s="43">
        <f>MAX(N41-N93,0)</f>
        <v>0</v>
      </c>
      <c r="O110" s="44"/>
    </row>
    <row r="111" spans="1:15" ht="15.75">
      <c r="A111" s="41">
        <f t="shared" si="23"/>
        <v>10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>
        <f>(1/(1+$D$4))*(($D$11*M111+(1-$D$11)*M112)-((M111-M112)/((1+$D$9)-1/(1+$D$9)))*($D$5-$D$4))</f>
        <v>0</v>
      </c>
      <c r="M111" s="43">
        <f>(1/(1+$D$4))*(($D$11*N111+(1-$D$11)*N112)-((N111-N112)/((1+$D$9)-1/(1+$D$9)))*($D$5-$D$4))</f>
        <v>0</v>
      </c>
      <c r="N111" s="43">
        <f>MAX(N43-N94,0)</f>
        <v>0</v>
      </c>
      <c r="O111" s="44"/>
    </row>
    <row r="112" spans="1:15" ht="15.75">
      <c r="A112" s="41">
        <f t="shared" si="23"/>
        <v>11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>
        <f>(1/(1+$D$4))*(($D$11*N112+(1-$D$11)*N113)-((N112-N113)/((1+$D$9)-1/(1+$D$9)))*($D$5-$D$4))</f>
        <v>0</v>
      </c>
      <c r="N112" s="43">
        <f>MAX(N45-N95,0)</f>
        <v>0</v>
      </c>
      <c r="O112" s="44"/>
    </row>
    <row r="113" spans="1:15" ht="15.75">
      <c r="A113" s="41">
        <f t="shared" si="23"/>
        <v>12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>
        <f>MAX(N47-N96,0)</f>
        <v>0</v>
      </c>
      <c r="O113" s="44"/>
    </row>
    <row r="114" spans="1:15">
      <c r="O114" s="44"/>
    </row>
    <row r="116" spans="1:15" ht="15.75">
      <c r="A116" s="34"/>
      <c r="B116" s="34" t="s">
        <v>51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5" t="s">
        <v>52</v>
      </c>
      <c r="O116" s="44"/>
    </row>
    <row r="117" spans="1:15" ht="15.75">
      <c r="A117" s="34"/>
      <c r="B117" s="34">
        <v>0</v>
      </c>
      <c r="C117" s="34">
        <v>1</v>
      </c>
      <c r="D117" s="34">
        <v>2</v>
      </c>
      <c r="E117" s="34">
        <v>3</v>
      </c>
      <c r="F117" s="34">
        <v>4</v>
      </c>
      <c r="G117" s="34">
        <v>5</v>
      </c>
      <c r="H117" s="34">
        <v>6</v>
      </c>
      <c r="I117" s="34">
        <v>7</v>
      </c>
      <c r="J117" s="34">
        <v>8</v>
      </c>
      <c r="K117" s="34">
        <v>9</v>
      </c>
      <c r="L117" s="34">
        <v>10</v>
      </c>
      <c r="M117" s="34">
        <v>11</v>
      </c>
      <c r="N117" s="34">
        <v>12</v>
      </c>
    </row>
    <row r="118" spans="1:15" ht="15.75">
      <c r="A118" s="41" t="s">
        <v>53</v>
      </c>
      <c r="B118" s="32" t="s">
        <v>123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5" ht="15.75">
      <c r="A119" s="41">
        <v>0</v>
      </c>
      <c r="B119" s="43">
        <f>MAX(B35-B84,(1/(1+$D$4))*(($D$11*C119+(1-$D$11)*C120)-((C119-C120)/((1+$D$9)-1/(1+$D$9)))*($D$5-$D$4)))</f>
        <v>12.57210398125628</v>
      </c>
      <c r="C119" s="43">
        <f>MAX(C34-C84,(1/(1+$D$4))*(($D$11*D119+(1-$D$11)*D120)-((D119-D120)/((1+$D$9)-1/(1+$D$9)))*($D$5-$D$4)))</f>
        <v>16.8734426860381</v>
      </c>
      <c r="D119" s="43">
        <f>MAX(D33-D84,(1/(1+$D$4))*(($D$11*E119+(1-$D$11)*E120)-((E119-E120)/((1+$D$9)-1/(1+$D$9)))*($D$5-$D$4)))</f>
        <v>22.242880439967365</v>
      </c>
      <c r="E119" s="43">
        <f>MAX(E32-E84,(1/(1+$D$4))*(($D$11*F119+(1-$D$11)*F120)-((F119-F120)/((1+$D$9)-1/(1+$D$9)))*($D$5-$D$4)))</f>
        <v>27.909061083689295</v>
      </c>
      <c r="F119" s="43">
        <f>MAX(F31-F84,(1/(1+$D$4))*(($D$11*G119+(1-$D$11)*G120)-((G119-G120)/((1+$D$9)-1/(1+$D$9)))*($D$5-$D$4)))</f>
        <v>33.879991844378537</v>
      </c>
      <c r="G119" s="43">
        <f>MAX(G30-G84,(1/(1+$D$4))*(($D$11*H119+(1-$D$11)*H120)-((H119-H120)/((1+$D$9)-1/(1+$D$9)))*($D$5-$D$4)))</f>
        <v>40.17167604452311</v>
      </c>
      <c r="H119" s="43">
        <f>MAX(H29-H84,(1/(1+$D$4))*(($D$11*I119+(1-$D$11)*I120)-((I119-I120)/((1+$D$9)-1/(1+$D$9)))*($D$5-$D$4)))</f>
        <v>46.800956763836851</v>
      </c>
      <c r="I119" s="43">
        <f>MAX(I28-I84,(1/(1+$D$4))*(($D$11*J119+(1-$D$11)*J120)-((J119-J120)/((1+$D$9)-1/(1+$D$9)))*($D$5-$D$4)))</f>
        <v>53.785560903591303</v>
      </c>
      <c r="J119" s="43">
        <f>MAX(J27-J84,(1/(1+$D$4))*(($D$11*K119+(1-$D$11)*K120)-((K119-K120)/((1+$D$9)-1/(1+$D$9)))*($D$5-$D$4)))</f>
        <v>61.144145563120517</v>
      </c>
      <c r="K119" s="43">
        <f>MAX(K26-K84,(1/(1+$D$4))*(($D$11*L119+(1-$D$11)*L120)-((L119-L120)/((1+$D$9)-1/(1+$D$9)))*($D$5-$D$4)))</f>
        <v>68.896346849824681</v>
      </c>
      <c r="L119" s="43">
        <f>MAX(L25-L84,(1/(1+$D$4))*(($D$11*M119+(1-$D$11)*M120)-((M119-M120)/((1+$D$9)-1/(1+$D$9)))*($D$5-$D$4)))</f>
        <v>77.062831250364624</v>
      </c>
      <c r="M119" s="43">
        <f>MAX(M24-M84,(1/(1+$D$4))*(($D$11*N119+(1-$D$11)*N120)-((N119-N120)/((1+$D$9)-1/(1+$D$9)))*($D$5-$D$4)))</f>
        <v>85.665349697439922</v>
      </c>
      <c r="N119" s="43">
        <f>MAX(N23-N84,0)</f>
        <v>94.726794473594751</v>
      </c>
      <c r="O119" s="44"/>
    </row>
    <row r="120" spans="1:15" ht="15.75">
      <c r="A120" s="41">
        <f t="shared" ref="A120:A131" si="30">1+A119</f>
        <v>1</v>
      </c>
      <c r="B120" s="43"/>
      <c r="C120" s="43">
        <f>MAX(C36-C85,(1/(1+$D$4))*(($D$11*D120+(1-$D$11)*D121)-((D120-D121)/((1+$D$9)-1/(1+$D$9)))*($D$5-$D$4)))</f>
        <v>8.1907200174557087</v>
      </c>
      <c r="D120" s="43">
        <f>MAX(D35-D85,(1/(1+$D$4))*(($D$11*E120+(1-$D$11)*E121)-((E120-E121)/((1+$D$9)-1/(1+$D$9)))*($D$5-$D$4)))</f>
        <v>11.41007900101944</v>
      </c>
      <c r="E120" s="43">
        <f>MAX(E34-E85,(1/(1+$D$4))*(($D$11*F120+(1-$D$11)*F121)-((F120-F121)/((1+$D$9)-1/(1+$D$9)))*($D$5-$D$4)))</f>
        <v>15.584480968579957</v>
      </c>
      <c r="F120" s="43">
        <f>MAX(F33-F85,(1/(1+$D$4))*(($D$11*G120+(1-$D$11)*G121)-((G120-G121)/((1+$D$9)-1/(1+$D$9)))*($D$5-$D$4)))</f>
        <v>20.850773911025613</v>
      </c>
      <c r="G120" s="43">
        <f>MAX(G32-G85,(1/(1+$D$4))*(($D$11*H120+(1-$D$11)*H121)-((H120-H121)/((1+$D$9)-1/(1+$D$9)))*($D$5-$D$4)))</f>
        <v>26.458780341569778</v>
      </c>
      <c r="H120" s="43">
        <f>MAX(H31-H85,(1/(1+$D$4))*(($D$11*I120+(1-$D$11)*I121)-((I120-I121)/((1+$D$9)-1/(1+$D$9)))*($D$5-$D$4)))</f>
        <v>32.368508897667439</v>
      </c>
      <c r="I120" s="43">
        <f>MAX(I30-I85,(1/(1+$D$4))*(($D$11*J120+(1-$D$11)*J121)-((J120-J121)/((1+$D$9)-1/(1+$D$9)))*($D$5-$D$4)))</f>
        <v>38.595804055602031</v>
      </c>
      <c r="J120" s="43">
        <f>MAX(J29-J85,(1/(1+$D$4))*(($D$11*K120+(1-$D$11)*K121)-((K120-K121)/((1+$D$9)-1/(1+$D$9)))*($D$5-$D$4)))</f>
        <v>45.157341713866359</v>
      </c>
      <c r="K120" s="43">
        <f>MAX(K28-K85,(1/(1+$D$4))*(($D$11*L120+(1-$D$11)*L121)-((L120-L121)/((1+$D$9)-1/(1+$D$9)))*($D$5-$D$4)))</f>
        <v>52.070672820134092</v>
      </c>
      <c r="L120" s="43">
        <f>MAX(L27-L85,(1/(1+$D$4))*(($D$11*M120+(1-$D$11)*M121)-((M120-M121)/((1+$D$9)-1/(1+$D$9)))*($D$5-$D$4)))</f>
        <v>59.354269287454727</v>
      </c>
      <c r="M120" s="43">
        <f>MAX(M26-M85,(1/(1+$D$4))*(($D$11*N120+(1-$D$11)*N121)-((N120-N121)/((1+$D$9)-1/(1+$D$9)))*($D$5-$D$4)))</f>
        <v>67.027572319793535</v>
      </c>
      <c r="N120" s="43">
        <f>MAX(N25-N85,0)</f>
        <v>75.111043273341565</v>
      </c>
      <c r="O120" s="44"/>
    </row>
    <row r="121" spans="1:15" ht="15.75">
      <c r="A121" s="41">
        <f t="shared" si="30"/>
        <v>2</v>
      </c>
      <c r="B121" s="43"/>
      <c r="C121" s="43"/>
      <c r="D121" s="43">
        <f>MAX(D37-D86,(1/(1+$D$4))*(($D$11*E121+(1-$D$11)*E122)-((E121-E122)/((1+$D$9)-1/(1+$D$9)))*($D$5-$D$4)))</f>
        <v>4.9052540831426192</v>
      </c>
      <c r="E121" s="43">
        <f>MAX(E36-E86,(1/(1+$D$4))*(($D$11*F121+(1-$D$11)*F122)-((F121-F122)/((1+$D$9)-1/(1+$D$9)))*($D$5-$D$4)))</f>
        <v>7.1539727556630428</v>
      </c>
      <c r="F121" s="43">
        <f>MAX(F35-F86,(1/(1+$D$4))*(($D$11*G121+(1-$D$11)*G122)-((G121-G122)/((1+$D$9)-1/(1+$D$9)))*($D$5-$D$4)))</f>
        <v>10.221161500886577</v>
      </c>
      <c r="G121" s="43">
        <f>MAX(G34-G86,(1/(1+$D$4))*(($D$11*H121+(1-$D$11)*H122)-((H121-H122)/((1+$D$9)-1/(1+$D$9)))*($D$5-$D$4)))</f>
        <v>14.278467683657945</v>
      </c>
      <c r="H121" s="43">
        <f>MAX(H33-H86,(1/(1+$D$4))*(($D$11*I121+(1-$D$11)*I122)-((I121-I122)/((1+$D$9)-1/(1+$D$9)))*($D$5-$D$4)))</f>
        <v>19.468612426438568</v>
      </c>
      <c r="I121" s="43">
        <f>MAX(I32-I86,(1/(1+$D$4))*(($D$11*J121+(1-$D$11)*J122)-((J121-J122)/((1+$D$9)-1/(1+$D$9)))*($D$5-$D$4)))</f>
        <v>25.019015656351186</v>
      </c>
      <c r="J121" s="43">
        <f>MAX(J31-J86,(1/(1+$D$4))*(($D$11*K121+(1-$D$11)*K122)-((K121-K122)/((1+$D$9)-1/(1+$D$9)))*($D$5-$D$4)))</f>
        <v>30.86814306416025</v>
      </c>
      <c r="K121" s="43">
        <f>MAX(K30-K86,(1/(1+$D$4))*(($D$11*L121+(1-$D$11)*L122)-((L121-L122)/((1+$D$9)-1/(1+$D$9)))*($D$5-$D$4)))</f>
        <v>37.031681856554712</v>
      </c>
      <c r="L121" s="43">
        <f>MAX(L29-L86,(1/(1+$D$4))*(($D$11*M121+(1-$D$11)*M122)-((M121-M122)/((1+$D$9)-1/(1+$D$9)))*($D$5-$D$4)))</f>
        <v>43.526142410145567</v>
      </c>
      <c r="M121" s="43">
        <f>MAX(M28-M86,(1/(1+$D$4))*(($D$11*N121+(1-$D$11)*N122)-((N121-N122)/((1+$D$9)-1/(1+$D$9)))*($D$5-$D$4)))</f>
        <v>50.368901465418077</v>
      </c>
      <c r="N121" s="43">
        <f>MAX(N27-N86,0)</f>
        <v>57.578247587185373</v>
      </c>
      <c r="O121" s="44"/>
    </row>
    <row r="122" spans="1:15" ht="15.75">
      <c r="A122" s="41">
        <f t="shared" si="30"/>
        <v>3</v>
      </c>
      <c r="B122" s="43"/>
      <c r="C122" s="43"/>
      <c r="D122" s="43"/>
      <c r="E122" s="43">
        <f>MAX(E38-E87,(1/(1+$D$4))*(($D$11*F122+(1-$D$11)*F123)-((F122-F123)/((1+$D$9)-1/(1+$D$9)))*($D$5-$D$4)))</f>
        <v>2.6062117340846132</v>
      </c>
      <c r="F122" s="43">
        <f>MAX(F37-F87,(1/(1+$D$4))*(($D$11*G122+(1-$D$11)*G123)-((G122-G123)/((1+$D$9)-1/(1+$D$9)))*($D$5-$D$4)))</f>
        <v>4.0204994291977263</v>
      </c>
      <c r="G122" s="43">
        <f>MAX(G36-G87,(1/(1+$D$4))*(($D$11*H122+(1-$D$11)*H123)-((H122-H123)/((1+$D$9)-1/(1+$D$9)))*($D$5-$D$4)))</f>
        <v>6.0800259507285785</v>
      </c>
      <c r="H122" s="43">
        <f>MAX(H35-H87,(1/(1+$D$4))*(($D$11*I122+(1-$D$11)*I123)-((I122-I123)/((1+$D$9)-1/(1+$D$9)))*($D$5-$D$4)))</f>
        <v>8.987205611265761</v>
      </c>
      <c r="I122" s="43">
        <f>MAX(I34-I87,(1/(1+$D$4))*(($D$11*J122+(1-$D$11)*J123)-((J122-J123)/((1+$D$9)-1/(1+$D$9)))*($D$5-$D$4)))</f>
        <v>12.942417557482838</v>
      </c>
      <c r="J122" s="43">
        <f>MAX(J33-J87,(1/(1+$D$4))*(($D$11*K122+(1-$D$11)*K123)-((K122-K123)/((1+$D$9)-1/(1+$D$9)))*($D$5-$D$4)))</f>
        <v>18.096284475284861</v>
      </c>
      <c r="K122" s="43">
        <f>MAX(K32-K87,(1/(1+$D$4))*(($D$11*L122+(1-$D$11)*L123)-((L122-L123)/((1+$D$9)-1/(1+$D$9)))*($D$5-$D$4)))</f>
        <v>23.589649828386271</v>
      </c>
      <c r="L122" s="43">
        <f>MAX(L31-L87,(1/(1+$D$4))*(($D$11*M122+(1-$D$11)*M123)-((M122-M123)/((1+$D$9)-1/(1+$D$9)))*($D$5-$D$4)))</f>
        <v>29.378771157249759</v>
      </c>
      <c r="M122" s="43">
        <f>MAX(M30-M87,(1/(1+$D$4))*(($D$11*N122+(1-$D$11)*N123)-((N122-N123)/((1+$D$9)-1/(1+$D$9)))*($D$5-$D$4)))</f>
        <v>35.479179959931159</v>
      </c>
      <c r="N122" s="43">
        <f>MAX(N29-N87,0)</f>
        <v>41.907222734029133</v>
      </c>
      <c r="O122" s="44"/>
    </row>
    <row r="123" spans="1:15" ht="15.75">
      <c r="A123" s="41">
        <f t="shared" si="30"/>
        <v>4</v>
      </c>
      <c r="B123" s="43"/>
      <c r="C123" s="43"/>
      <c r="D123" s="43"/>
      <c r="E123" s="43"/>
      <c r="F123" s="43">
        <f>MAX(F39-F88,(1/(1+$D$4))*(($D$11*G123+(1-$D$11)*G124)-((G123-G124)/((1+$D$9)-1/(1+$D$9)))*($D$5-$D$4)))</f>
        <v>1.1578396195236225</v>
      </c>
      <c r="G123" s="43">
        <f>MAX(G38-G88,(1/(1+$D$4))*(($D$11*H123+(1-$D$11)*H124)-((H123-H124)/((1+$D$9)-1/(1+$D$9)))*($D$5-$D$4)))</f>
        <v>1.9124833345017649</v>
      </c>
      <c r="H123" s="43">
        <f>MAX(H37-H88,(1/(1+$D$4))*(($D$11*I123+(1-$D$11)*I124)-((I123-I124)/((1+$D$9)-1/(1+$D$9)))*($D$5-$D$4)))</f>
        <v>3.1064573196415712</v>
      </c>
      <c r="I123" s="43">
        <f>MAX(I36-I88,(1/(1+$D$4))*(($D$11*J123+(1-$D$11)*J124)-((J123-J124)/((1+$D$9)-1/(1+$D$9)))*($D$5-$D$4)))</f>
        <v>4.945308174235489</v>
      </c>
      <c r="J123" s="43">
        <f>MAX(J35-J88,(1/(1+$D$4))*(($D$11*K123+(1-$D$11)*K124)-((K123-K124)/((1+$D$9)-1/(1+$D$9)))*($D$5-$D$4)))</f>
        <v>7.6818554220972466</v>
      </c>
      <c r="K123" s="43">
        <f>MAX(K34-K88,(1/(1+$D$4))*(($D$11*L123+(1-$D$11)*L124)-((L123-L124)/((1+$D$9)-1/(1+$D$9)))*($D$5-$D$4)))</f>
        <v>11.574999012790514</v>
      </c>
      <c r="L123" s="43">
        <f>MAX(L33-L88,(1/(1+$D$4))*(($D$11*M123+(1-$D$11)*M124)-((M123-M124)/((1+$D$9)-1/(1+$D$9)))*($D$5-$D$4)))</f>
        <v>16.733679611124288</v>
      </c>
      <c r="M123" s="43">
        <f>MAX(M32-M88,(1/(1+$D$4))*(($D$11*N123+(1-$D$11)*N124)-((N123-N124)/((1+$D$9)-1/(1+$D$9)))*($D$5-$D$4)))</f>
        <v>22.17056677890254</v>
      </c>
      <c r="N123" s="43">
        <f>MAX(N31-N88,0)</f>
        <v>27.900271170557076</v>
      </c>
      <c r="O123" s="44"/>
    </row>
    <row r="124" spans="1:15" ht="15.75">
      <c r="A124" s="41">
        <f t="shared" si="30"/>
        <v>5</v>
      </c>
      <c r="B124" s="43"/>
      <c r="C124" s="43"/>
      <c r="D124" s="43"/>
      <c r="E124" s="43"/>
      <c r="F124" s="43"/>
      <c r="G124" s="43">
        <f>MAX(G40-G89,(1/(1+$D$4))*(($D$11*H124+(1-$D$11)*H125)-((H124-H125)/((1+$D$9)-1/(1+$D$9)))*($D$5-$D$4)))</f>
        <v>0.38382547817897306</v>
      </c>
      <c r="H124" s="43">
        <f>MAX(H39-H89,(1/(1+$D$4))*(($D$11*I124+(1-$D$11)*I125)-((I124-I125)/((1+$D$9)-1/(1+$D$9)))*($D$5-$D$4)))</f>
        <v>0.68827172763623223</v>
      </c>
      <c r="I124" s="43">
        <f>MAX(I38-I89,(1/(1+$D$4))*(($D$11*J124+(1-$D$11)*J125)-((J124-J125)/((1+$D$9)-1/(1+$D$9)))*($D$5-$D$4)))</f>
        <v>1.2218558013610108</v>
      </c>
      <c r="J124" s="43">
        <f>MAX(J37-J89,(1/(1+$D$4))*(($D$11*K124+(1-$D$11)*K125)-((K124-K125)/((1+$D$9)-1/(1+$D$9)))*($D$5-$D$4)))</f>
        <v>2.1423141696767454</v>
      </c>
      <c r="K124" s="43">
        <f>MAX(K36-K89,(1/(1+$D$4))*(($D$11*L124+(1-$D$11)*L125)-((L124-L125)/((1+$D$9)-1/(1+$D$9)))*($D$5-$D$4)))</f>
        <v>3.697467681370425</v>
      </c>
      <c r="L124" s="43">
        <f>MAX(L35-L89,(1/(1+$D$4))*(($D$11*M124+(1-$D$11)*M125)-((M124-M125)/((1+$D$9)-1/(1+$D$9)))*($D$5-$D$4)))</f>
        <v>6.2512510244935022</v>
      </c>
      <c r="M124" s="43">
        <f>MAX(M34-M89,(1/(1+$D$4))*(($D$11*N124+(1-$D$11)*N125)-((N124-N125)/((1+$D$9)-1/(1+$D$9)))*($D$5-$D$4)))</f>
        <v>10.27516734265518</v>
      </c>
      <c r="N124" s="43">
        <f>MAX(N33-N89,0)</f>
        <v>15.380688441292492</v>
      </c>
      <c r="O124" s="44"/>
    </row>
    <row r="125" spans="1:15" ht="15.75">
      <c r="A125" s="41">
        <f t="shared" si="30"/>
        <v>6</v>
      </c>
      <c r="B125" s="43"/>
      <c r="C125" s="43"/>
      <c r="D125" s="43"/>
      <c r="E125" s="43"/>
      <c r="F125" s="43"/>
      <c r="G125" s="43"/>
      <c r="H125" s="43">
        <f>MAX(H41-H90,(1/(1+$D$4))*(($D$11*I125+(1-$D$11)*I126)-((I125-I126)/((1+$D$9)-1/(1+$D$9)))*($D$5-$D$4)))</f>
        <v>7.1141229377328544E-2</v>
      </c>
      <c r="I125" s="43">
        <f>MAX(I40-I90,(1/(1+$D$4))*(($D$11*J125+(1-$D$11)*J126)-((J125-J126)/((1+$D$9)-1/(1+$D$9)))*($D$5-$D$4)))</f>
        <v>0.1403285482911312</v>
      </c>
      <c r="J125" s="43">
        <f>MAX(J39-J90,(1/(1+$D$4))*(($D$11*K125+(1-$D$11)*K126)-((K125-K126)/((1+$D$9)-1/(1+$D$9)))*($D$5-$D$4)))</f>
        <v>0.27680294026197794</v>
      </c>
      <c r="K125" s="43">
        <f>MAX(K38-K90,(1/(1+$D$4))*(($D$11*L125+(1-$D$11)*L126)-((L125-L126)/((1+$D$9)-1/(1+$D$9)))*($D$5-$D$4)))</f>
        <v>0.54600342318597572</v>
      </c>
      <c r="L125" s="43">
        <f>MAX(L37-L90,(1/(1+$D$4))*(($D$11*M125+(1-$D$11)*M126)-((M125-M126)/((1+$D$9)-1/(1+$D$9)))*($D$5-$D$4)))</f>
        <v>1.0770107349605846</v>
      </c>
      <c r="M125" s="43">
        <f>MAX(M36-M90,(1/(1+$D$4))*(($D$11*N125+(1-$D$11)*N126)-((N125-N126)/((1+$D$9)-1/(1+$D$9)))*($D$5-$D$4)))</f>
        <v>2.1244411187972432</v>
      </c>
      <c r="N125" s="43">
        <f>MAX(N35-N90,0)</f>
        <v>4.1905339665919428</v>
      </c>
      <c r="O125" s="44"/>
    </row>
    <row r="126" spans="1:15" ht="15.75">
      <c r="A126" s="41">
        <f t="shared" si="30"/>
        <v>7</v>
      </c>
      <c r="B126" s="43"/>
      <c r="C126" s="43"/>
      <c r="D126" s="43"/>
      <c r="E126" s="43"/>
      <c r="F126" s="43"/>
      <c r="G126" s="43"/>
      <c r="H126" s="43"/>
      <c r="I126" s="43">
        <f>MAX(I42-I91,(1/(1+$D$4))*(($D$11*J126+(1-$D$11)*J127)-((J126-J127)/((1+$D$9)-1/(1+$D$9)))*($D$5-$D$4)))</f>
        <v>0</v>
      </c>
      <c r="J126" s="43">
        <f>MAX(J41-J91,(1/(1+$D$4))*(($D$11*K126+(1-$D$11)*K127)-((K126-K127)/((1+$D$9)-1/(1+$D$9)))*($D$5-$D$4)))</f>
        <v>0</v>
      </c>
      <c r="K126" s="43">
        <f>MAX(K40-K91,(1/(1+$D$4))*(($D$11*L126+(1-$D$11)*L127)-((L126-L127)/((1+$D$9)-1/(1+$D$9)))*($D$5-$D$4)))</f>
        <v>0</v>
      </c>
      <c r="L126" s="43">
        <f>MAX(L39-L91,(1/(1+$D$4))*(($D$11*M126+(1-$D$11)*M127)-((M126-M127)/((1+$D$9)-1/(1+$D$9)))*($D$5-$D$4)))</f>
        <v>0</v>
      </c>
      <c r="M126" s="43">
        <f>MAX(M38-M91,(1/(1+$D$4))*(($D$11*N126+(1-$D$11)*N127)-((N126-N127)/((1+$D$9)-1/(1+$D$9)))*($D$5-$D$4)))</f>
        <v>0</v>
      </c>
      <c r="N126" s="43">
        <f>MAX(N37-N91,0)</f>
        <v>0</v>
      </c>
      <c r="O126" s="44"/>
    </row>
    <row r="127" spans="1:15" ht="15.75">
      <c r="A127" s="41">
        <f t="shared" si="30"/>
        <v>8</v>
      </c>
      <c r="B127" s="43"/>
      <c r="C127" s="43"/>
      <c r="D127" s="43"/>
      <c r="E127" s="43"/>
      <c r="F127" s="43"/>
      <c r="G127" s="43"/>
      <c r="H127" s="43"/>
      <c r="I127" s="43"/>
      <c r="J127" s="43">
        <f>MAX(J43-J92,(1/(1+$D$4))*(($D$11*K127+(1-$D$11)*K128)-((K127-K128)/((1+$D$9)-1/(1+$D$9)))*($D$5-$D$4)))</f>
        <v>0</v>
      </c>
      <c r="K127" s="43">
        <f>MAX(K42-K92,(1/(1+$D$4))*(($D$11*L127+(1-$D$11)*L128)-((L127-L128)/((1+$D$9)-1/(1+$D$9)))*($D$5-$D$4)))</f>
        <v>0</v>
      </c>
      <c r="L127" s="43">
        <f>MAX(L41-L92,(1/(1+$D$4))*(($D$11*M127+(1-$D$11)*M128)-((M127-M128)/((1+$D$9)-1/(1+$D$9)))*($D$5-$D$4)))</f>
        <v>0</v>
      </c>
      <c r="M127" s="43">
        <f>MAX(M40-M92,(1/(1+$D$4))*(($D$11*N127+(1-$D$11)*N128)-((N127-N128)/((1+$D$9)-1/(1+$D$9)))*($D$5-$D$4)))</f>
        <v>0</v>
      </c>
      <c r="N127" s="43">
        <f>MAX(N39-N92,0)</f>
        <v>0</v>
      </c>
      <c r="O127" s="44"/>
    </row>
    <row r="128" spans="1:15" ht="15.75">
      <c r="A128" s="41">
        <f t="shared" si="30"/>
        <v>9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>
        <f>MAX(K44-K93,(1/(1+$D$4))*(($D$11*L128+(1-$D$11)*L129)-((L128-L129)/((1+$D$9)-1/(1+$D$9)))*($D$5-$D$4)))</f>
        <v>0</v>
      </c>
      <c r="L128" s="43">
        <f>MAX(L43-L93,(1/(1+$D$4))*(($D$11*M128+(1-$D$11)*M129)-((M128-M129)/((1+$D$9)-1/(1+$D$9)))*($D$5-$D$4)))</f>
        <v>0</v>
      </c>
      <c r="M128" s="43">
        <f>MAX(M42-M93,(1/(1+$D$4))*(($D$11*N128+(1-$D$11)*N129)-((N128-N129)/((1+$D$9)-1/(1+$D$9)))*($D$5-$D$4)))</f>
        <v>0</v>
      </c>
      <c r="N128" s="43">
        <f>MAX(N41-N93,0)</f>
        <v>0</v>
      </c>
      <c r="O128" s="44"/>
    </row>
    <row r="129" spans="1:15" ht="15.75">
      <c r="A129" s="41">
        <f t="shared" si="30"/>
        <v>10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>
        <f>MAX(L45-L94,(1/(1+$D$4))*(($D$11*M129+(1-$D$11)*M130)-((M129-M130)/((1+$D$9)-1/(1+$D$9)))*($D$5-$D$4)))</f>
        <v>0</v>
      </c>
      <c r="M129" s="43">
        <f>MAX(M44-M94,(1/(1+$D$4))*(($D$11*N129+(1-$D$11)*N130)-((N129-N130)/((1+$D$9)-1/(1+$D$9)))*($D$5-$D$4)))</f>
        <v>0</v>
      </c>
      <c r="N129" s="43">
        <f>MAX(N43-N94,0)</f>
        <v>0</v>
      </c>
      <c r="O129" s="44"/>
    </row>
    <row r="130" spans="1:15" ht="15.75">
      <c r="A130" s="41">
        <f t="shared" si="30"/>
        <v>11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>
        <f>MAX(M46-M95,(1/(1+$D$4))*(($D$11*N130+(1-$D$11)*N131)-((N130-N131)/((1+$D$9)-1/(1+$D$9)))*($D$5-$D$4)))</f>
        <v>0</v>
      </c>
      <c r="N130" s="43">
        <f>MAX(N45-N95,0)</f>
        <v>0</v>
      </c>
      <c r="O130" s="44"/>
    </row>
    <row r="131" spans="1:15" ht="15.75">
      <c r="A131" s="41">
        <f t="shared" si="30"/>
        <v>12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>
        <f>MAX(N47-N96,0)</f>
        <v>0</v>
      </c>
      <c r="O131" s="44"/>
    </row>
    <row r="132" spans="1:15">
      <c r="O132" s="70"/>
    </row>
    <row r="133" spans="1:15" ht="15.75">
      <c r="A133" s="34"/>
      <c r="B133" s="34" t="s">
        <v>51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5" t="s">
        <v>52</v>
      </c>
      <c r="O133" s="70"/>
    </row>
    <row r="134" spans="1:15" ht="15.75">
      <c r="A134" s="34"/>
      <c r="B134" s="34">
        <v>0</v>
      </c>
      <c r="C134" s="34">
        <v>1</v>
      </c>
      <c r="D134" s="34">
        <v>2</v>
      </c>
      <c r="E134" s="34">
        <v>3</v>
      </c>
      <c r="F134" s="34">
        <v>4</v>
      </c>
      <c r="G134" s="34">
        <v>5</v>
      </c>
      <c r="H134" s="34">
        <v>6</v>
      </c>
      <c r="I134" s="34">
        <v>7</v>
      </c>
      <c r="J134" s="34">
        <v>8</v>
      </c>
      <c r="K134" s="34">
        <v>9</v>
      </c>
      <c r="L134" s="34">
        <v>10</v>
      </c>
      <c r="M134" s="34">
        <v>11</v>
      </c>
      <c r="N134" s="34">
        <v>12</v>
      </c>
    </row>
    <row r="135" spans="1:15" ht="15.75">
      <c r="A135" s="41" t="s">
        <v>53</v>
      </c>
      <c r="B135" s="34" t="s">
        <v>43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5" ht="15.75">
      <c r="A136" s="41">
        <v>0</v>
      </c>
      <c r="B136" s="35" t="str">
        <f>IF(B119=B35-B84,"exer","hold")</f>
        <v>hold</v>
      </c>
      <c r="C136" s="35" t="str">
        <f>IF(C119=C34-C84,"exer","hold")</f>
        <v>hold</v>
      </c>
      <c r="D136" s="35" t="str">
        <f>IF(D119=D33-D84,"exer","hold")</f>
        <v>exer</v>
      </c>
      <c r="E136" s="35" t="str">
        <f>IF(E119=E32-E84,"exer","hold")</f>
        <v>exer</v>
      </c>
      <c r="F136" s="35" t="str">
        <f>IF(F119=F31-F84,"exer","hold")</f>
        <v>exer</v>
      </c>
      <c r="G136" s="35" t="str">
        <f>IF(G119=G30-G84,"exer","hold")</f>
        <v>exer</v>
      </c>
      <c r="H136" s="35" t="str">
        <f>IF(H119=H29-H84,"exer","hold")</f>
        <v>exer</v>
      </c>
      <c r="I136" s="35" t="str">
        <f>IF(I119=I28-I84,"exer","hold")</f>
        <v>exer</v>
      </c>
      <c r="J136" s="35" t="str">
        <f>IF(J119=J27-J84,"exer","hold")</f>
        <v>exer</v>
      </c>
      <c r="K136" s="35" t="str">
        <f>IF(K119=K26-K84,"exer","hold")</f>
        <v>exer</v>
      </c>
      <c r="L136" s="35" t="str">
        <f>IF(L119=L25-L84,"exer","hold")</f>
        <v>exer</v>
      </c>
      <c r="M136" s="35" t="str">
        <f>IF(M119=M24-M84,"exer","hold")</f>
        <v>exer</v>
      </c>
      <c r="N136" s="35" t="str">
        <f>IF(N119=N23-N84,"exer","hold")</f>
        <v>exer</v>
      </c>
      <c r="O136" s="36"/>
    </row>
    <row r="137" spans="1:15" ht="15.75">
      <c r="A137" s="41">
        <f t="shared" ref="A137:A148" si="31">1+A136</f>
        <v>1</v>
      </c>
      <c r="B137" s="35"/>
      <c r="C137" s="35" t="str">
        <f>IF(C120=C36-C85,"exer","hold")</f>
        <v>hold</v>
      </c>
      <c r="D137" s="35" t="str">
        <f>IF(D120=D35-D85,"exer","hold")</f>
        <v>hold</v>
      </c>
      <c r="E137" s="35" t="str">
        <f>IF(E120=E34-E85,"exer","hold")</f>
        <v>hold</v>
      </c>
      <c r="F137" s="35" t="str">
        <f>IF(F120=F33-F85,"exer","hold")</f>
        <v>exer</v>
      </c>
      <c r="G137" s="35" t="str">
        <f>IF(G120=G32-G85,"exer","hold")</f>
        <v>exer</v>
      </c>
      <c r="H137" s="35" t="str">
        <f>IF(H120=H31-H85,"exer","hold")</f>
        <v>exer</v>
      </c>
      <c r="I137" s="35" t="str">
        <f>IF(I120=I30-I85,"exer","hold")</f>
        <v>exer</v>
      </c>
      <c r="J137" s="35" t="str">
        <f>IF(J120=J29-J85,"exer","hold")</f>
        <v>exer</v>
      </c>
      <c r="K137" s="35" t="str">
        <f>IF(K120=K28-K85,"exer","hold")</f>
        <v>exer</v>
      </c>
      <c r="L137" s="35" t="str">
        <f>IF(L120=L27-L85,"exer","hold")</f>
        <v>exer</v>
      </c>
      <c r="M137" s="35" t="str">
        <f>IF(M120=M26-M85,"exer","hold")</f>
        <v>exer</v>
      </c>
      <c r="N137" s="35" t="str">
        <f>IF(N120=N25-N85,"exer","hold")</f>
        <v>exer</v>
      </c>
      <c r="O137" s="36"/>
    </row>
    <row r="138" spans="1:15" ht="15.75">
      <c r="A138" s="41">
        <f t="shared" si="31"/>
        <v>2</v>
      </c>
      <c r="B138" s="35"/>
      <c r="C138" s="35"/>
      <c r="D138" s="35" t="str">
        <f>IF(D121=D37-D86,"exer","hold")</f>
        <v>hold</v>
      </c>
      <c r="E138" s="35" t="str">
        <f>IF(E121=E36-E86,"exer","hold")</f>
        <v>hold</v>
      </c>
      <c r="F138" s="35" t="str">
        <f>IF(F121=F35-F86,"exer","hold")</f>
        <v>hold</v>
      </c>
      <c r="G138" s="35" t="str">
        <f>IF(G121=G34-G86,"exer","hold")</f>
        <v>hold</v>
      </c>
      <c r="H138" s="35" t="str">
        <f>IF(H121=H33-H86,"exer","hold")</f>
        <v>exer</v>
      </c>
      <c r="I138" s="35" t="str">
        <f>IF(I121=I32-I86,"exer","hold")</f>
        <v>exer</v>
      </c>
      <c r="J138" s="35" t="str">
        <f>IF(J121=J31-J86,"exer","hold")</f>
        <v>exer</v>
      </c>
      <c r="K138" s="35" t="str">
        <f>IF(K121=K30-K86,"exer","hold")</f>
        <v>exer</v>
      </c>
      <c r="L138" s="35" t="str">
        <f>IF(L121=L29-L86,"exer","hold")</f>
        <v>exer</v>
      </c>
      <c r="M138" s="35" t="str">
        <f>IF(M121=M28-M86,"exer","hold")</f>
        <v>exer</v>
      </c>
      <c r="N138" s="35" t="str">
        <f>IF(N121=N27-N86,"exer","hold")</f>
        <v>exer</v>
      </c>
      <c r="O138" s="36"/>
    </row>
    <row r="139" spans="1:15" ht="15.75">
      <c r="A139" s="41">
        <f t="shared" si="31"/>
        <v>3</v>
      </c>
      <c r="B139" s="35"/>
      <c r="C139" s="35"/>
      <c r="D139" s="35"/>
      <c r="E139" s="35" t="str">
        <f>IF(E122=E38-E87,"exer","hold")</f>
        <v>hold</v>
      </c>
      <c r="F139" s="35" t="str">
        <f>IF(F122=F37-F87,"exer","hold")</f>
        <v>hold</v>
      </c>
      <c r="G139" s="35" t="str">
        <f>IF(G122=G36-G87,"exer","hold")</f>
        <v>hold</v>
      </c>
      <c r="H139" s="35" t="str">
        <f>IF(H122=H35-H87,"exer","hold")</f>
        <v>hold</v>
      </c>
      <c r="I139" s="35" t="str">
        <f>IF(I122=I34-I87,"exer","hold")</f>
        <v>hold</v>
      </c>
      <c r="J139" s="35" t="str">
        <f>IF(J122=J33-J87,"exer","hold")</f>
        <v>exer</v>
      </c>
      <c r="K139" s="35" t="str">
        <f>IF(K122=K32-K87,"exer","hold")</f>
        <v>exer</v>
      </c>
      <c r="L139" s="35" t="str">
        <f>IF(L122=L31-L87,"exer","hold")</f>
        <v>exer</v>
      </c>
      <c r="M139" s="35" t="str">
        <f>IF(M122=M30-M87,"exer","hold")</f>
        <v>exer</v>
      </c>
      <c r="N139" s="35" t="str">
        <f>IF(N122=N29-N87,"exer","hold")</f>
        <v>exer</v>
      </c>
      <c r="O139" s="36"/>
    </row>
    <row r="140" spans="1:15" ht="15.75">
      <c r="A140" s="41">
        <f t="shared" si="31"/>
        <v>4</v>
      </c>
      <c r="B140" s="35"/>
      <c r="C140" s="35"/>
      <c r="D140" s="35"/>
      <c r="E140" s="35"/>
      <c r="F140" s="35" t="str">
        <f>IF(F123=F39-F88,"exer","hold")</f>
        <v>hold</v>
      </c>
      <c r="G140" s="35" t="str">
        <f>IF(G123=G38-G88,"exer","hold")</f>
        <v>hold</v>
      </c>
      <c r="H140" s="35" t="str">
        <f>IF(H123=H37-H88,"exer","hold")</f>
        <v>hold</v>
      </c>
      <c r="I140" s="35" t="str">
        <f>IF(I123=I36-I88,"exer","hold")</f>
        <v>hold</v>
      </c>
      <c r="J140" s="35" t="str">
        <f>IF(J123=J35-J88,"exer","hold")</f>
        <v>hold</v>
      </c>
      <c r="K140" s="35" t="str">
        <f>IF(K123=K34-K88,"exer","hold")</f>
        <v>exer</v>
      </c>
      <c r="L140" s="35" t="str">
        <f>IF(L123=L33-L88,"exer","hold")</f>
        <v>exer</v>
      </c>
      <c r="M140" s="35" t="str">
        <f>IF(M123=M32-M88,"exer","hold")</f>
        <v>exer</v>
      </c>
      <c r="N140" s="35" t="str">
        <f>IF(N123=N31-N88,"exer","hold")</f>
        <v>exer</v>
      </c>
      <c r="O140" s="36"/>
    </row>
    <row r="141" spans="1:15" ht="15.75">
      <c r="A141" s="41">
        <f t="shared" si="31"/>
        <v>5</v>
      </c>
      <c r="B141" s="35"/>
      <c r="C141" s="35"/>
      <c r="D141" s="35"/>
      <c r="E141" s="35"/>
      <c r="F141" s="35"/>
      <c r="G141" s="35" t="str">
        <f>IF(G124=G40-G89,"exer","hold")</f>
        <v>hold</v>
      </c>
      <c r="H141" s="35" t="str">
        <f>IF(H124=H39-H89,"exer","hold")</f>
        <v>hold</v>
      </c>
      <c r="I141" s="35" t="str">
        <f>IF(I124=I38-I89,"exer","hold")</f>
        <v>hold</v>
      </c>
      <c r="J141" s="35" t="str">
        <f>IF(J124=J37-J89,"exer","hold")</f>
        <v>hold</v>
      </c>
      <c r="K141" s="35" t="str">
        <f>IF(K124=K36-K89,"exer","hold")</f>
        <v>hold</v>
      </c>
      <c r="L141" s="35" t="str">
        <f>IF(L124=L35-L89,"exer","hold")</f>
        <v>hold</v>
      </c>
      <c r="M141" s="35" t="str">
        <f>IF(M124=M34-M89,"exer","hold")</f>
        <v>exer</v>
      </c>
      <c r="N141" s="35" t="str">
        <f>IF(N124=N33-N89,"exer","hold")</f>
        <v>exer</v>
      </c>
      <c r="O141" s="36"/>
    </row>
    <row r="142" spans="1:15" ht="15.75">
      <c r="A142" s="41">
        <f t="shared" si="31"/>
        <v>6</v>
      </c>
      <c r="B142" s="35"/>
      <c r="C142" s="35"/>
      <c r="D142" s="35"/>
      <c r="E142" s="35"/>
      <c r="F142" s="35"/>
      <c r="G142" s="35"/>
      <c r="H142" s="35" t="str">
        <f>IF(H125=H41-H90,"exer","hold")</f>
        <v>hold</v>
      </c>
      <c r="I142" s="35" t="str">
        <f>IF(I125=I40-I90,"exer","hold")</f>
        <v>hold</v>
      </c>
      <c r="J142" s="35" t="str">
        <f>IF(J125=J39-J90,"exer","hold")</f>
        <v>hold</v>
      </c>
      <c r="K142" s="35" t="str">
        <f>IF(K125=K38-K90,"exer","hold")</f>
        <v>hold</v>
      </c>
      <c r="L142" s="35" t="str">
        <f>IF(L125=L37-L90,"exer","hold")</f>
        <v>hold</v>
      </c>
      <c r="M142" s="35" t="str">
        <f>IF(M125=M36-M90,"exer","hold")</f>
        <v>hold</v>
      </c>
      <c r="N142" s="35" t="str">
        <f>IF(N125=N35-N90,"exer","hold")</f>
        <v>exer</v>
      </c>
      <c r="O142" s="36"/>
    </row>
    <row r="143" spans="1:15" ht="15.75">
      <c r="A143" s="41">
        <f t="shared" si="31"/>
        <v>7</v>
      </c>
      <c r="B143" s="35"/>
      <c r="C143" s="35"/>
      <c r="D143" s="35"/>
      <c r="E143" s="35"/>
      <c r="F143" s="35"/>
      <c r="G143" s="35"/>
      <c r="H143" s="35"/>
      <c r="I143" s="35" t="str">
        <f>IF(I126=I42-I91,"exer","hold")</f>
        <v>hold</v>
      </c>
      <c r="J143" s="35" t="str">
        <f>IF(J126=J41-J91,"exer","hold")</f>
        <v>hold</v>
      </c>
      <c r="K143" s="35" t="str">
        <f>IF(K126=K40-K91,"exer","hold")</f>
        <v>hold</v>
      </c>
      <c r="L143" s="35" t="str">
        <f>IF(L126=L39-L91,"exer","hold")</f>
        <v>hold</v>
      </c>
      <c r="M143" s="35" t="str">
        <f>IF(M126=M38-M91,"exer","hold")</f>
        <v>hold</v>
      </c>
      <c r="N143" s="35" t="str">
        <f>IF(N126=N37-N91,"exer","hold")</f>
        <v>hold</v>
      </c>
      <c r="O143" s="36"/>
    </row>
    <row r="144" spans="1:15" ht="15.75">
      <c r="A144" s="41">
        <f t="shared" si="31"/>
        <v>8</v>
      </c>
      <c r="B144" s="35"/>
      <c r="C144" s="35"/>
      <c r="D144" s="35"/>
      <c r="E144" s="35"/>
      <c r="F144" s="35"/>
      <c r="G144" s="35"/>
      <c r="H144" s="35"/>
      <c r="I144" s="35"/>
      <c r="J144" s="35" t="str">
        <f>IF(J127=J43-J92,"exer","hold")</f>
        <v>hold</v>
      </c>
      <c r="K144" s="35" t="str">
        <f>IF(K127=K42-K92,"exer","hold")</f>
        <v>hold</v>
      </c>
      <c r="L144" s="35" t="str">
        <f>IF(L127=L41-L92,"exer","hold")</f>
        <v>hold</v>
      </c>
      <c r="M144" s="35" t="str">
        <f>IF(M127=M40-M92,"exer","hold")</f>
        <v>hold</v>
      </c>
      <c r="N144" s="35" t="str">
        <f>IF(N127=N39-N92,"exer","hold")</f>
        <v>hold</v>
      </c>
      <c r="O144" s="36"/>
    </row>
    <row r="145" spans="1:15" ht="15.75">
      <c r="A145" s="41">
        <f t="shared" si="31"/>
        <v>9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 t="str">
        <f>IF(K128=K44-K93,"exer","hold")</f>
        <v>hold</v>
      </c>
      <c r="L145" s="35" t="str">
        <f>IF(L128=L43-L93,"exer","hold")</f>
        <v>hold</v>
      </c>
      <c r="M145" s="35" t="str">
        <f>IF(M128=M42-M93,"exer","hold")</f>
        <v>hold</v>
      </c>
      <c r="N145" s="35" t="str">
        <f>IF(N128=N41-N93,"exer","hold")</f>
        <v>hold</v>
      </c>
      <c r="O145" s="36"/>
    </row>
    <row r="146" spans="1:15" ht="15.75">
      <c r="A146" s="41">
        <f t="shared" si="31"/>
        <v>10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 t="str">
        <f>IF(L129=L45-L94,"exer","hold")</f>
        <v>hold</v>
      </c>
      <c r="M146" s="35" t="str">
        <f>IF(M129=M44-M94,"exer","hold")</f>
        <v>hold</v>
      </c>
      <c r="N146" s="35" t="str">
        <f>IF(N129=N43-N94,"exer","hold")</f>
        <v>hold</v>
      </c>
      <c r="O146" s="36"/>
    </row>
    <row r="147" spans="1:15" ht="15.75">
      <c r="A147" s="41">
        <f t="shared" si="31"/>
        <v>11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 t="str">
        <f>IF(M130=M46-M95,"exer","hold")</f>
        <v>hold</v>
      </c>
      <c r="N147" s="35" t="str">
        <f>IF(N130=N45-N95,"exer","hold")</f>
        <v>hold</v>
      </c>
      <c r="O147" s="36"/>
    </row>
    <row r="148" spans="1:15" ht="15.75">
      <c r="A148" s="41">
        <f t="shared" si="31"/>
        <v>12</v>
      </c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 t="str">
        <f>IF(N131=N47-N96,"exer","hold")</f>
        <v>hold</v>
      </c>
      <c r="O148" s="36"/>
    </row>
    <row r="150" spans="1:15">
      <c r="B150" t="s">
        <v>44</v>
      </c>
      <c r="O150" s="44"/>
    </row>
    <row r="151" spans="1:15">
      <c r="B151" t="s">
        <v>45</v>
      </c>
      <c r="O151" s="44"/>
    </row>
    <row r="152" spans="1:15">
      <c r="B152" s="13" t="s">
        <v>46</v>
      </c>
      <c r="O152" s="44"/>
    </row>
    <row r="153" spans="1:15" ht="15.75">
      <c r="B153" s="34" t="s">
        <v>51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</row>
    <row r="154" spans="1:15" ht="15.75">
      <c r="B154" s="34">
        <v>0</v>
      </c>
      <c r="C154" s="34">
        <v>1</v>
      </c>
      <c r="D154" s="34">
        <v>2</v>
      </c>
      <c r="E154" s="34">
        <v>3</v>
      </c>
      <c r="F154" s="34">
        <v>4</v>
      </c>
      <c r="G154" s="34">
        <v>5</v>
      </c>
      <c r="H154" s="34">
        <v>6</v>
      </c>
      <c r="I154" s="34">
        <v>7</v>
      </c>
      <c r="J154" s="34">
        <v>8</v>
      </c>
      <c r="K154" s="34">
        <v>9</v>
      </c>
      <c r="L154" s="34">
        <v>10</v>
      </c>
      <c r="M154" s="34">
        <v>11</v>
      </c>
    </row>
    <row r="155" spans="1:15" ht="15.75">
      <c r="A155" s="41" t="s">
        <v>53</v>
      </c>
      <c r="B155" s="34" t="s">
        <v>47</v>
      </c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</row>
    <row r="156" spans="1:15" ht="15.75">
      <c r="A156" s="41">
        <v>0</v>
      </c>
      <c r="B156" s="71">
        <f t="shared" ref="B156:M156" si="32">IF(C119&gt;0,(1+$D$4)*(($D$11*C119+(1-$D$11)*C120)/(($D$11*C119+(1-$D$11)*C120)-((C119-C120)/((1+$D$9)-1/(1+$D$9))*($D$5-$D$4))))-1,"NA")</f>
        <v>3.3244400788569051E-2</v>
      </c>
      <c r="C156" s="71">
        <f t="shared" si="32"/>
        <v>3.1079534437393308E-2</v>
      </c>
      <c r="D156" s="71">
        <f t="shared" si="32"/>
        <v>2.7674394837283067E-2</v>
      </c>
      <c r="E156" s="71">
        <f t="shared" si="32"/>
        <v>2.3665131152886598E-2</v>
      </c>
      <c r="F156" s="71">
        <f t="shared" si="32"/>
        <v>2.0807128979926315E-2</v>
      </c>
      <c r="G156" s="71">
        <f t="shared" si="32"/>
        <v>1.8722344917962763E-2</v>
      </c>
      <c r="H156" s="71">
        <f t="shared" si="32"/>
        <v>1.713609400974403E-2</v>
      </c>
      <c r="I156" s="71">
        <f t="shared" si="32"/>
        <v>1.5890016070188251E-2</v>
      </c>
      <c r="J156" s="71">
        <f t="shared" si="32"/>
        <v>1.4886392801199966E-2</v>
      </c>
      <c r="K156" s="71">
        <f t="shared" si="32"/>
        <v>1.4061655734871392E-2</v>
      </c>
      <c r="L156" s="71">
        <f t="shared" si="32"/>
        <v>1.3372666272655653E-2</v>
      </c>
      <c r="M156" s="71">
        <f t="shared" si="32"/>
        <v>1.2789118301761881E-2</v>
      </c>
      <c r="N156" s="2"/>
      <c r="O156" s="42"/>
    </row>
    <row r="157" spans="1:15" ht="15.75">
      <c r="A157" s="41">
        <f t="shared" ref="A157:A168" si="33">1+A156</f>
        <v>1</v>
      </c>
      <c r="B157" s="34"/>
      <c r="C157" s="71">
        <f t="shared" ref="C157:M157" si="34">IF(D120&gt;0,(1+$D$4)*(($D$11*D120+(1-$D$11)*D121)/(($D$11*D120+(1-$D$11)*D121)-((D120-D121)/((1+$D$9)-1/(1+$D$9))*($D$5-$D$4))))-1,"NA")</f>
        <v>3.7853433510962375E-2</v>
      </c>
      <c r="D157" s="71">
        <f t="shared" si="34"/>
        <v>3.539146155912043E-2</v>
      </c>
      <c r="E157" s="71">
        <f t="shared" si="34"/>
        <v>3.2862893329003384E-2</v>
      </c>
      <c r="F157" s="71">
        <f t="shared" si="34"/>
        <v>2.9056279846763067E-2</v>
      </c>
      <c r="G157" s="71">
        <f t="shared" si="34"/>
        <v>2.4620892300918129E-2</v>
      </c>
      <c r="H157" s="71">
        <f t="shared" si="34"/>
        <v>2.1482278890761375E-2</v>
      </c>
      <c r="I157" s="71">
        <f t="shared" si="34"/>
        <v>1.9223983392704591E-2</v>
      </c>
      <c r="J157" s="71">
        <f t="shared" si="34"/>
        <v>1.7523018051677441E-2</v>
      </c>
      <c r="K157" s="71">
        <f t="shared" si="34"/>
        <v>1.6197173661476327E-2</v>
      </c>
      <c r="L157" s="71">
        <f t="shared" si="34"/>
        <v>1.5135854874260168E-2</v>
      </c>
      <c r="M157" s="71">
        <f t="shared" si="34"/>
        <v>1.4268044107593969E-2</v>
      </c>
      <c r="N157" s="2"/>
      <c r="O157" s="42"/>
    </row>
    <row r="158" spans="1:15" ht="15.75">
      <c r="A158" s="41">
        <f t="shared" si="33"/>
        <v>2</v>
      </c>
      <c r="B158" s="34"/>
      <c r="C158" s="34"/>
      <c r="D158" s="71">
        <f t="shared" ref="D158:M158" si="35">IF(E121&gt;0,(1+$D$4)*(($D$11*E121+(1-$D$11)*E122)/(($D$11*E121+(1-$D$11)*E122)-((E121-E122)/((1+$D$9)-1/(1+$D$9))*($D$5-$D$4))))-1,"NA")</f>
        <v>4.3771874553616641E-2</v>
      </c>
      <c r="E158" s="71">
        <f t="shared" si="35"/>
        <v>4.1084142184237171E-2</v>
      </c>
      <c r="F158" s="71">
        <f t="shared" si="35"/>
        <v>3.8206652065864599E-2</v>
      </c>
      <c r="G158" s="71">
        <f t="shared" si="35"/>
        <v>3.5178043185648766E-2</v>
      </c>
      <c r="H158" s="71">
        <f t="shared" si="35"/>
        <v>3.0746617161867551E-2</v>
      </c>
      <c r="I158" s="71">
        <f t="shared" si="35"/>
        <v>2.5681706430013662E-2</v>
      </c>
      <c r="J158" s="71">
        <f t="shared" si="35"/>
        <v>2.2219224243621882E-2</v>
      </c>
      <c r="K158" s="71">
        <f t="shared" si="35"/>
        <v>1.9764998301323056E-2</v>
      </c>
      <c r="L158" s="71">
        <f t="shared" si="35"/>
        <v>1.7936557032258271E-2</v>
      </c>
      <c r="M158" s="71">
        <f t="shared" si="35"/>
        <v>1.6523153951929048E-2</v>
      </c>
      <c r="N158" s="2"/>
      <c r="O158" s="42"/>
    </row>
    <row r="159" spans="1:15" ht="15.75">
      <c r="A159" s="41">
        <f t="shared" si="33"/>
        <v>3</v>
      </c>
      <c r="B159" s="34"/>
      <c r="C159" s="34"/>
      <c r="D159" s="34"/>
      <c r="E159" s="71">
        <f t="shared" ref="E159:M159" si="36">IF(F122&gt;0,(1+$D$4)*(($D$11*F122+(1-$D$11)*F123)/(($D$11*F122+(1-$D$11)*F123)-((F122-F123)/((1+$D$9)-1/(1+$D$9))*($D$5-$D$4))))-1,"NA")</f>
        <v>5.1396538184975027E-2</v>
      </c>
      <c r="F159" s="71">
        <f t="shared" si="36"/>
        <v>4.8644305336698723E-2</v>
      </c>
      <c r="G159" s="71">
        <f t="shared" si="36"/>
        <v>4.5557144633247004E-2</v>
      </c>
      <c r="H159" s="71">
        <f t="shared" si="36"/>
        <v>4.2111968617347895E-2</v>
      </c>
      <c r="I159" s="71">
        <f t="shared" si="36"/>
        <v>3.8321034687092803E-2</v>
      </c>
      <c r="J159" s="71">
        <f t="shared" si="36"/>
        <v>3.2825079220403675E-2</v>
      </c>
      <c r="K159" s="71">
        <f t="shared" si="36"/>
        <v>2.6865790806733347E-2</v>
      </c>
      <c r="L159" s="71">
        <f t="shared" si="36"/>
        <v>2.3026781414361208E-2</v>
      </c>
      <c r="M159" s="71">
        <f t="shared" si="36"/>
        <v>2.0350161688638124E-2</v>
      </c>
      <c r="N159" s="2"/>
      <c r="O159" s="42"/>
    </row>
    <row r="160" spans="1:15" ht="15.75">
      <c r="A160" s="41">
        <f t="shared" si="33"/>
        <v>4</v>
      </c>
      <c r="B160" s="34"/>
      <c r="C160" s="34"/>
      <c r="D160" s="34"/>
      <c r="E160" s="34"/>
      <c r="F160" s="71">
        <f t="shared" ref="F160:M160" si="37">IF(G123&gt;0,(1+$D$4)*(($D$11*G123+(1-$D$11)*G124)/(($D$11*G123+(1-$D$11)*G124)-((G123-G124)/((1+$D$9)-1/(1+$D$9))*($D$5-$D$4))))-1,"NA")</f>
        <v>6.12732834684655E-2</v>
      </c>
      <c r="G160" s="71">
        <f t="shared" si="37"/>
        <v>5.8787250846381811E-2</v>
      </c>
      <c r="H160" s="71">
        <f t="shared" si="37"/>
        <v>5.5857869400138371E-2</v>
      </c>
      <c r="I160" s="71">
        <f t="shared" si="37"/>
        <v>5.2365308257626975E-2</v>
      </c>
      <c r="J160" s="71">
        <f t="shared" si="37"/>
        <v>4.8150136210892702E-2</v>
      </c>
      <c r="K160" s="71">
        <f t="shared" si="37"/>
        <v>4.2902058067789239E-2</v>
      </c>
      <c r="L160" s="71">
        <f t="shared" si="37"/>
        <v>3.5026785911477232E-2</v>
      </c>
      <c r="M160" s="71">
        <f t="shared" si="37"/>
        <v>2.8195833056039676E-2</v>
      </c>
      <c r="N160" s="2"/>
      <c r="O160" s="42"/>
    </row>
    <row r="161" spans="1:15" ht="15.75">
      <c r="A161" s="41">
        <f t="shared" si="33"/>
        <v>5</v>
      </c>
      <c r="B161" s="34"/>
      <c r="C161" s="34"/>
      <c r="D161" s="34"/>
      <c r="E161" s="34"/>
      <c r="F161" s="34"/>
      <c r="G161" s="71">
        <f t="shared" ref="G161:M161" si="38">IF(H124&gt;0,(1+$D$4)*(($D$11*H124+(1-$D$11)*H125)/(($D$11*H124+(1-$D$11)*H125)-((H124-H125)/((1+$D$9)-1/(1+$D$9))*($D$5-$D$4))))-1,"NA")</f>
        <v>7.4074986968562184E-2</v>
      </c>
      <c r="H161" s="71">
        <f t="shared" si="38"/>
        <v>7.2451270208641283E-2</v>
      </c>
      <c r="I161" s="71">
        <f t="shared" si="38"/>
        <v>7.0466668088239759E-2</v>
      </c>
      <c r="J161" s="71">
        <f t="shared" si="38"/>
        <v>6.7985823527324962E-2</v>
      </c>
      <c r="K161" s="71">
        <f t="shared" si="38"/>
        <v>6.4796016167371517E-2</v>
      </c>
      <c r="L161" s="71">
        <f t="shared" si="38"/>
        <v>6.0542677047950022E-2</v>
      </c>
      <c r="M161" s="71">
        <f t="shared" si="38"/>
        <v>5.3057170813419763E-2</v>
      </c>
      <c r="N161" s="2"/>
      <c r="O161" s="42"/>
    </row>
    <row r="162" spans="1:15" ht="15.75">
      <c r="A162" s="41">
        <f t="shared" si="33"/>
        <v>6</v>
      </c>
      <c r="B162" s="34"/>
      <c r="C162" s="34"/>
      <c r="D162" s="34"/>
      <c r="E162" s="34"/>
      <c r="F162" s="34"/>
      <c r="G162" s="34"/>
      <c r="H162" s="71">
        <f t="shared" ref="H162:M162" si="39">IF(I125&gt;0,(1+$D$4)*(($D$11*I125+(1-$D$11)*I126)/(($D$11*I125+(1-$D$11)*I126)-((I125-I126)/((1+$D$9)-1/(1+$D$9))*($D$5-$D$4))))-1,"NA")</f>
        <v>9.0309748703761183E-2</v>
      </c>
      <c r="I162" s="71">
        <f t="shared" si="39"/>
        <v>9.0309748703761183E-2</v>
      </c>
      <c r="J162" s="71">
        <f t="shared" si="39"/>
        <v>9.0309748703761406E-2</v>
      </c>
      <c r="K162" s="71">
        <f t="shared" si="39"/>
        <v>9.0309748703761183E-2</v>
      </c>
      <c r="L162" s="71">
        <f t="shared" si="39"/>
        <v>9.0309748703761406E-2</v>
      </c>
      <c r="M162" s="71">
        <f t="shared" si="39"/>
        <v>9.0309748703761406E-2</v>
      </c>
      <c r="N162" s="2"/>
      <c r="O162" s="42"/>
    </row>
    <row r="163" spans="1:15" ht="15.75">
      <c r="A163" s="41">
        <f t="shared" si="33"/>
        <v>7</v>
      </c>
      <c r="B163" s="34"/>
      <c r="C163" s="34"/>
      <c r="D163" s="34"/>
      <c r="E163" s="34"/>
      <c r="F163" s="34"/>
      <c r="G163" s="34"/>
      <c r="H163" s="34"/>
      <c r="I163" s="72" t="str">
        <f>IF(J126&gt;0,(1+$D$4)*(($D$11*J126+(1-$D$11)*J127)/(($D$11*J126+(1-$D$11)*J127)-((J126-J127)/((1+$D$9)-1/(1+$D$9))*($D$5-$D$4))))-1,"NA")</f>
        <v>NA</v>
      </c>
      <c r="J163" s="72" t="str">
        <f>IF(K126&gt;0,(1+$D$4)*(($D$11*K126+(1-$D$11)*K127)/(($D$11*K126+(1-$D$11)*K127)-((K126-K127)/((1+$D$9)-1/(1+$D$9))*($D$5-$D$4))))-1,"NA")</f>
        <v>NA</v>
      </c>
      <c r="K163" s="72" t="str">
        <f>IF(L126&gt;0,(1+$D$4)*(($D$11*L126+(1-$D$11)*L127)/(($D$11*L126+(1-$D$11)*L127)-((L126-L127)/((1+$D$9)-1/(1+$D$9))*($D$5-$D$4))))-1,"NA")</f>
        <v>NA</v>
      </c>
      <c r="L163" s="72" t="str">
        <f>IF(M126&gt;0,(1+$D$4)*(($D$11*M126+(1-$D$11)*M127)/(($D$11*M126+(1-$D$11)*M127)-((M126-M127)/((1+$D$9)-1/(1+$D$9))*($D$5-$D$4))))-1,"NA")</f>
        <v>NA</v>
      </c>
      <c r="M163" s="72" t="str">
        <f>IF(N126&gt;0,(1+$D$4)*(($D$11*N126+(1-$D$11)*N127)/(($D$11*N126+(1-$D$11)*N127)-((N126-N127)/((1+$D$9)-1/(1+$D$9))*($D$5-$D$4))))-1,"NA")</f>
        <v>NA</v>
      </c>
      <c r="N163" s="2"/>
      <c r="O163" s="42"/>
    </row>
    <row r="164" spans="1:15" ht="15.75">
      <c r="A164" s="41">
        <f t="shared" si="33"/>
        <v>8</v>
      </c>
      <c r="B164" s="34"/>
      <c r="C164" s="34"/>
      <c r="D164" s="34"/>
      <c r="E164" s="34"/>
      <c r="F164" s="34"/>
      <c r="G164" s="34"/>
      <c r="H164" s="34"/>
      <c r="I164" s="34"/>
      <c r="J164" s="72" t="str">
        <f>IF(K127&gt;0,(1+$D$4)*(($D$11*K127+(1-$D$11)*K128)/(($D$11*K127+(1-$D$11)*K128)-((K127-K128)/((1+$D$9)-1/(1+$D$9))*($D$5-$D$4))))-1,"NA")</f>
        <v>NA</v>
      </c>
      <c r="K164" s="72" t="str">
        <f>IF(L127&gt;0,(1+$D$4)*(($D$11*L127+(1-$D$11)*L128)/(($D$11*L127+(1-$D$11)*L128)-((L127-L128)/((1+$D$9)-1/(1+$D$9))*($D$5-$D$4))))-1,"NA")</f>
        <v>NA</v>
      </c>
      <c r="L164" s="72" t="str">
        <f>IF(M127&gt;0,(1+$D$4)*(($D$11*M127+(1-$D$11)*M128)/(($D$11*M127+(1-$D$11)*M128)-((M127-M128)/((1+$D$9)-1/(1+$D$9))*($D$5-$D$4))))-1,"NA")</f>
        <v>NA</v>
      </c>
      <c r="M164" s="72" t="str">
        <f>IF(N127&gt;0,(1+$D$4)*(($D$11*N127+(1-$D$11)*N128)/(($D$11*N127+(1-$D$11)*N128)-((N127-N128)/((1+$D$9)-1/(1+$D$9))*($D$5-$D$4))))-1,"NA")</f>
        <v>NA</v>
      </c>
      <c r="N164" s="2"/>
      <c r="O164" s="42"/>
    </row>
    <row r="165" spans="1:15" ht="15.75">
      <c r="A165" s="41">
        <f t="shared" si="33"/>
        <v>9</v>
      </c>
      <c r="B165" s="34"/>
      <c r="C165" s="34"/>
      <c r="D165" s="34"/>
      <c r="E165" s="34"/>
      <c r="F165" s="34"/>
      <c r="G165" s="34"/>
      <c r="H165" s="34"/>
      <c r="I165" s="34"/>
      <c r="J165" s="35"/>
      <c r="K165" s="72" t="str">
        <f>IF(L128&gt;0,(1+$D$4)*(($D$11*L128+(1-$D$11)*L129)/(($D$11*L128+(1-$D$11)*L129)-((L128-L129)/((1+$D$9)-1/(1+$D$9))*($D$5-$D$4))))-1,"NA")</f>
        <v>NA</v>
      </c>
      <c r="L165" s="72" t="str">
        <f>IF(M128&gt;0,(1+$D$4)*(($D$11*M128+(1-$D$11)*M129)/(($D$11*M128+(1-$D$11)*M129)-((M128-M129)/((1+$D$9)-1/(1+$D$9))*($D$5-$D$4))))-1,"NA")</f>
        <v>NA</v>
      </c>
      <c r="M165" s="72" t="str">
        <f>IF(N128&gt;0,(1+$D$4)*(($D$11*N128+(1-$D$11)*N129)/(($D$11*N128+(1-$D$11)*N129)-((N128-N129)/((1+$D$9)-1/(1+$D$9))*($D$5-$D$4))))-1,"NA")</f>
        <v>NA</v>
      </c>
      <c r="N165" s="2"/>
      <c r="O165" s="42"/>
    </row>
    <row r="166" spans="1:15" ht="15.75">
      <c r="A166" s="41">
        <f t="shared" si="33"/>
        <v>10</v>
      </c>
      <c r="B166" s="34"/>
      <c r="C166" s="34"/>
      <c r="D166" s="34"/>
      <c r="E166" s="34"/>
      <c r="F166" s="34"/>
      <c r="G166" s="34"/>
      <c r="H166" s="34"/>
      <c r="I166" s="34"/>
      <c r="J166" s="35"/>
      <c r="K166" s="35"/>
      <c r="L166" s="72" t="str">
        <f>IF(M129&gt;0,(1+$D$4)*(($D$11*M129+(1-$D$11)*M130)/(($D$11*M129+(1-$D$11)*M130)-((M129-M130)/((1+$D$9)-1/(1+$D$9))*($D$5-$D$4))))-1,"NA")</f>
        <v>NA</v>
      </c>
      <c r="M166" s="72" t="str">
        <f>IF(N129&gt;0,(1+$D$4)*(($D$11*N129+(1-$D$11)*N130)/(($D$11*N129+(1-$D$11)*N130)-((N129-N130)/((1+$D$9)-1/(1+$D$9))*($D$5-$D$4))))-1,"NA")</f>
        <v>NA</v>
      </c>
      <c r="N166" s="2"/>
      <c r="O166" s="42"/>
    </row>
    <row r="167" spans="1:15" ht="15.75">
      <c r="A167" s="41">
        <f t="shared" si="33"/>
        <v>11</v>
      </c>
      <c r="B167" s="34"/>
      <c r="C167" s="34"/>
      <c r="D167" s="34"/>
      <c r="E167" s="34"/>
      <c r="F167" s="34"/>
      <c r="G167" s="34"/>
      <c r="H167" s="34"/>
      <c r="I167" s="34"/>
      <c r="J167" s="35"/>
      <c r="K167" s="35"/>
      <c r="L167" s="35"/>
      <c r="M167" s="72" t="str">
        <f>IF(N130&gt;0,(1+$D$4)*(($D$11*N130+(1-$D$11)*N131)/(($D$11*N130+(1-$D$11)*N131)-((N130-N131)/((1+$D$9)-1/(1+$D$9))*($D$5-$D$4))))-1,"NA")</f>
        <v>NA</v>
      </c>
      <c r="N167" s="2"/>
      <c r="O167" s="42"/>
    </row>
    <row r="168" spans="1:15" ht="15.75">
      <c r="A168" s="41">
        <f t="shared" si="33"/>
        <v>12</v>
      </c>
      <c r="N168" s="2"/>
      <c r="O168" s="42"/>
    </row>
    <row r="170" spans="1:15" ht="15.75">
      <c r="B170" s="34" t="s">
        <v>51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</row>
    <row r="171" spans="1:15" ht="15.75">
      <c r="B171" s="34">
        <v>0</v>
      </c>
      <c r="C171" s="34">
        <v>1</v>
      </c>
      <c r="D171" s="34">
        <v>2</v>
      </c>
      <c r="E171" s="34">
        <v>3</v>
      </c>
      <c r="F171" s="34">
        <v>4</v>
      </c>
      <c r="G171" s="34">
        <v>5</v>
      </c>
      <c r="H171" s="34">
        <v>6</v>
      </c>
      <c r="I171" s="34">
        <v>7</v>
      </c>
      <c r="J171" s="34">
        <v>8</v>
      </c>
      <c r="K171" s="34">
        <v>9</v>
      </c>
      <c r="L171" s="34">
        <v>10</v>
      </c>
      <c r="M171" s="34">
        <v>11</v>
      </c>
    </row>
    <row r="172" spans="1:15" ht="15.75">
      <c r="A172" s="41" t="s">
        <v>53</v>
      </c>
      <c r="B172" s="34" t="s">
        <v>48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</row>
    <row r="173" spans="1:15" ht="15.75">
      <c r="A173" s="41">
        <v>0</v>
      </c>
      <c r="B173" s="73">
        <f t="shared" ref="B173:M173" si="40">IF(C119&gt;0,(1+B156)^(1/$B$3)-1,"NA")</f>
        <v>0.48059652558175947</v>
      </c>
      <c r="C173" s="73">
        <f t="shared" si="40"/>
        <v>0.4437965551574623</v>
      </c>
      <c r="D173" s="73">
        <f t="shared" si="40"/>
        <v>0.38760683775939131</v>
      </c>
      <c r="E173" s="73">
        <f t="shared" si="40"/>
        <v>0.32402115212425908</v>
      </c>
      <c r="F173" s="73">
        <f t="shared" si="40"/>
        <v>0.28033710639842524</v>
      </c>
      <c r="G173" s="73">
        <f t="shared" si="40"/>
        <v>0.2493093384080689</v>
      </c>
      <c r="H173" s="73">
        <f t="shared" si="40"/>
        <v>0.22616464921073254</v>
      </c>
      <c r="I173" s="73">
        <f t="shared" si="40"/>
        <v>0.20825974460388608</v>
      </c>
      <c r="J173" s="73">
        <f t="shared" si="40"/>
        <v>0.19401327793315493</v>
      </c>
      <c r="K173" s="73">
        <f t="shared" si="40"/>
        <v>0.18242154624502405</v>
      </c>
      <c r="L173" s="73">
        <f t="shared" si="40"/>
        <v>0.17281694077055665</v>
      </c>
      <c r="M173" s="73">
        <f t="shared" si="40"/>
        <v>0.16473819696316583</v>
      </c>
    </row>
    <row r="174" spans="1:15" ht="15.75">
      <c r="A174" s="41">
        <f t="shared" ref="A174:A185" si="41">1+A173</f>
        <v>1</v>
      </c>
      <c r="B174" s="74"/>
      <c r="C174" s="73">
        <f t="shared" ref="C174:M174" si="42">IF(D120&gt;0,(1+C157)^(1/$B$3)-1,"NA")</f>
        <v>0.56182480901939535</v>
      </c>
      <c r="D174" s="73">
        <f t="shared" si="42"/>
        <v>0.51794120638035968</v>
      </c>
      <c r="E174" s="73">
        <f t="shared" si="42"/>
        <v>0.47404961846487503</v>
      </c>
      <c r="F174" s="73">
        <f t="shared" si="42"/>
        <v>0.41016368882715737</v>
      </c>
      <c r="G174" s="73">
        <f t="shared" si="42"/>
        <v>0.33893188593382884</v>
      </c>
      <c r="H174" s="73">
        <f t="shared" si="42"/>
        <v>0.29053575228714457</v>
      </c>
      <c r="I174" s="73">
        <f t="shared" si="42"/>
        <v>0.2567115718760693</v>
      </c>
      <c r="J174" s="73">
        <f t="shared" si="42"/>
        <v>0.23177365040427356</v>
      </c>
      <c r="K174" s="73">
        <f t="shared" si="42"/>
        <v>0.21265089637219692</v>
      </c>
      <c r="L174" s="73">
        <f t="shared" si="42"/>
        <v>0.19753994704178335</v>
      </c>
      <c r="M174" s="73">
        <f t="shared" si="42"/>
        <v>0.1853126298544272</v>
      </c>
    </row>
    <row r="175" spans="1:15" ht="15.75">
      <c r="A175" s="41">
        <f t="shared" si="41"/>
        <v>2</v>
      </c>
      <c r="B175" s="74"/>
      <c r="C175" s="74"/>
      <c r="D175" s="73">
        <f t="shared" ref="D175:M175" si="43">IF(E121&gt;0,(1+D158)^(1/$B$3)-1,"NA")</f>
        <v>0.67211861717686072</v>
      </c>
      <c r="E175" s="73">
        <f t="shared" si="43"/>
        <v>0.62117529204335553</v>
      </c>
      <c r="F175" s="73">
        <f t="shared" si="43"/>
        <v>0.56821529873104448</v>
      </c>
      <c r="G175" s="73">
        <f t="shared" si="43"/>
        <v>0.51419086214879006</v>
      </c>
      <c r="H175" s="73">
        <f t="shared" si="43"/>
        <v>0.4382123635080184</v>
      </c>
      <c r="I175" s="73">
        <f t="shared" si="43"/>
        <v>0.35566166880278427</v>
      </c>
      <c r="J175" s="73">
        <f t="shared" si="43"/>
        <v>0.30175282981360585</v>
      </c>
      <c r="K175" s="73">
        <f t="shared" si="43"/>
        <v>0.26473989337336734</v>
      </c>
      <c r="L175" s="73">
        <f t="shared" si="43"/>
        <v>0.23779446664489678</v>
      </c>
      <c r="M175" s="73">
        <f t="shared" si="43"/>
        <v>0.21732713616599808</v>
      </c>
    </row>
    <row r="176" spans="1:15" ht="15.75">
      <c r="A176" s="41">
        <f t="shared" si="41"/>
        <v>3</v>
      </c>
      <c r="B176" s="74"/>
      <c r="C176" s="74"/>
      <c r="D176" s="74"/>
      <c r="E176" s="73">
        <f t="shared" ref="E176:M176" si="44">IF(F122&gt;0,(1+E159)^(1/$B$3)-1,"NA")</f>
        <v>0.82472958208289682</v>
      </c>
      <c r="F176" s="73">
        <f t="shared" si="44"/>
        <v>0.76822869088751178</v>
      </c>
      <c r="G176" s="73">
        <f t="shared" si="44"/>
        <v>0.70676327154991903</v>
      </c>
      <c r="H176" s="73">
        <f t="shared" si="44"/>
        <v>0.64048629060012696</v>
      </c>
      <c r="I176" s="73">
        <f t="shared" si="44"/>
        <v>0.57028986039786211</v>
      </c>
      <c r="J176" s="73">
        <f t="shared" si="44"/>
        <v>0.4734021522780032</v>
      </c>
      <c r="K176" s="73">
        <f t="shared" si="44"/>
        <v>0.37456167591866496</v>
      </c>
      <c r="L176" s="73">
        <f t="shared" si="44"/>
        <v>0.31414726947717853</v>
      </c>
      <c r="M176" s="73">
        <f t="shared" si="44"/>
        <v>0.27347625510674689</v>
      </c>
    </row>
    <row r="177" spans="1:13" ht="15.75">
      <c r="A177" s="41">
        <f t="shared" si="41"/>
        <v>4</v>
      </c>
      <c r="B177" s="74"/>
      <c r="C177" s="74"/>
      <c r="D177" s="74"/>
      <c r="E177" s="74"/>
      <c r="F177" s="73">
        <f t="shared" ref="F177:M177" si="45">IF(G123&gt;0,(1+F160)^(1/$B$3)-1,"NA")</f>
        <v>1.0413937325324176</v>
      </c>
      <c r="G177" s="73">
        <f t="shared" si="45"/>
        <v>0.9847437288708345</v>
      </c>
      <c r="H177" s="73">
        <f t="shared" si="45"/>
        <v>0.91984219825629121</v>
      </c>
      <c r="I177" s="73">
        <f t="shared" si="45"/>
        <v>0.84500809090799933</v>
      </c>
      <c r="J177" s="73">
        <f t="shared" si="45"/>
        <v>0.7582553246404391</v>
      </c>
      <c r="K177" s="73">
        <f t="shared" si="45"/>
        <v>0.65547373175183288</v>
      </c>
      <c r="L177" s="73">
        <f t="shared" si="45"/>
        <v>0.5115380035849042</v>
      </c>
      <c r="M177" s="73">
        <f t="shared" si="45"/>
        <v>0.39607925501904351</v>
      </c>
    </row>
    <row r="178" spans="1:13" ht="15.75">
      <c r="A178" s="41">
        <f t="shared" si="41"/>
        <v>5</v>
      </c>
      <c r="B178" s="74"/>
      <c r="C178" s="74"/>
      <c r="D178" s="74"/>
      <c r="E178" s="74"/>
      <c r="F178" s="74"/>
      <c r="G178" s="73">
        <f t="shared" ref="G178:M178" si="46">IF(H124&gt;0,(1+G161)^(1/$B$3)-1,"NA")</f>
        <v>1.3573020525505894</v>
      </c>
      <c r="H178" s="73">
        <f t="shared" si="46"/>
        <v>1.3148924325068583</v>
      </c>
      <c r="I178" s="73">
        <f t="shared" si="46"/>
        <v>1.2640071116405158</v>
      </c>
      <c r="J178" s="73">
        <f t="shared" si="46"/>
        <v>1.201840494853835</v>
      </c>
      <c r="K178" s="73">
        <f t="shared" si="46"/>
        <v>1.1242078585128636</v>
      </c>
      <c r="L178" s="73">
        <f t="shared" si="46"/>
        <v>1.0245932965140541</v>
      </c>
      <c r="M178" s="73">
        <f t="shared" si="46"/>
        <v>0.85961652920821696</v>
      </c>
    </row>
    <row r="179" spans="1:13" ht="15.75">
      <c r="A179" s="41">
        <f t="shared" si="41"/>
        <v>6</v>
      </c>
      <c r="B179" s="74"/>
      <c r="C179" s="74"/>
      <c r="D179" s="74"/>
      <c r="E179" s="74"/>
      <c r="F179" s="74"/>
      <c r="G179" s="74"/>
      <c r="H179" s="73">
        <f t="shared" ref="H179:M179" si="47">IF(I125&gt;0,(1+H162)^(1/$B$3)-1,"NA")</f>
        <v>1.8222711917093641</v>
      </c>
      <c r="I179" s="73">
        <f t="shared" si="47"/>
        <v>1.8222711917093641</v>
      </c>
      <c r="J179" s="73">
        <f t="shared" si="47"/>
        <v>1.8222711917093708</v>
      </c>
      <c r="K179" s="73">
        <f t="shared" si="47"/>
        <v>1.8222711917093641</v>
      </c>
      <c r="L179" s="73">
        <f t="shared" si="47"/>
        <v>1.8222711917093708</v>
      </c>
      <c r="M179" s="73">
        <f t="shared" si="47"/>
        <v>1.8222711917093708</v>
      </c>
    </row>
    <row r="180" spans="1:13" ht="15.75">
      <c r="A180" s="41">
        <f t="shared" si="41"/>
        <v>7</v>
      </c>
      <c r="B180" s="74"/>
      <c r="C180" s="74"/>
      <c r="D180" s="74"/>
      <c r="E180" s="74"/>
      <c r="F180" s="74"/>
      <c r="G180" s="74"/>
      <c r="H180" s="74"/>
      <c r="I180" s="73" t="str">
        <f>IF(J126&gt;0,(1+I163)^(1/$B$3)-1,"NA")</f>
        <v>NA</v>
      </c>
      <c r="J180" s="73" t="str">
        <f>IF(K126&gt;0,(1+J163)^(1/$B$3)-1,"NA")</f>
        <v>NA</v>
      </c>
      <c r="K180" s="73" t="str">
        <f>IF(L126&gt;0,(1+K163)^(1/$B$3)-1,"NA")</f>
        <v>NA</v>
      </c>
      <c r="L180" s="73" t="str">
        <f>IF(M126&gt;0,(1+L163)^(1/$B$3)-1,"NA")</f>
        <v>NA</v>
      </c>
      <c r="M180" s="73" t="str">
        <f>IF(N126&gt;0,(1+M163)^(1/$B$3)-1,"NA")</f>
        <v>NA</v>
      </c>
    </row>
    <row r="181" spans="1:13" ht="15.75">
      <c r="A181" s="41">
        <f t="shared" si="41"/>
        <v>8</v>
      </c>
      <c r="B181" s="74"/>
      <c r="C181" s="74"/>
      <c r="D181" s="74"/>
      <c r="E181" s="74"/>
      <c r="F181" s="74"/>
      <c r="G181" s="74"/>
      <c r="H181" s="74"/>
      <c r="I181" s="74"/>
      <c r="J181" s="73" t="str">
        <f>IF(K127&gt;0,(1+J164)^(1/$B$3)-1,"NA")</f>
        <v>NA</v>
      </c>
      <c r="K181" s="73" t="str">
        <f>IF(L127&gt;0,(1+K164)^(1/$B$3)-1,"NA")</f>
        <v>NA</v>
      </c>
      <c r="L181" s="73" t="str">
        <f>IF(M127&gt;0,(1+L164)^(1/$B$3)-1,"NA")</f>
        <v>NA</v>
      </c>
      <c r="M181" s="73" t="str">
        <f>IF(N127&gt;0,(1+M164)^(1/$B$3)-1,"NA")</f>
        <v>NA</v>
      </c>
    </row>
    <row r="182" spans="1:13" ht="15.75">
      <c r="A182" s="41">
        <f t="shared" si="41"/>
        <v>9</v>
      </c>
      <c r="B182" s="74"/>
      <c r="C182" s="74"/>
      <c r="D182" s="74"/>
      <c r="E182" s="74"/>
      <c r="F182" s="74"/>
      <c r="G182" s="74"/>
      <c r="H182" s="74"/>
      <c r="I182" s="74"/>
      <c r="J182" s="74"/>
      <c r="K182" s="73" t="str">
        <f>IF(L128&gt;0,(1+K165)^(1/$B$3)-1,"NA")</f>
        <v>NA</v>
      </c>
      <c r="L182" s="73" t="str">
        <f>IF(M128&gt;0,(1+L165)^(1/$B$3)-1,"NA")</f>
        <v>NA</v>
      </c>
      <c r="M182" s="73" t="str">
        <f>IF(N128&gt;0,(1+M165)^(1/$B$3)-1,"NA")</f>
        <v>NA</v>
      </c>
    </row>
    <row r="183" spans="1:13" ht="15.75">
      <c r="A183" s="41">
        <f t="shared" si="41"/>
        <v>10</v>
      </c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3" t="str">
        <f>IF(M129&gt;0,(1+L166)^(1/$B$3)-1,"NA")</f>
        <v>NA</v>
      </c>
      <c r="M183" s="73" t="str">
        <f>IF(N129&gt;0,(1+M166)^(1/$B$3)-1,"NA")</f>
        <v>NA</v>
      </c>
    </row>
    <row r="184" spans="1:13" ht="15.75">
      <c r="A184" s="41">
        <f t="shared" si="41"/>
        <v>11</v>
      </c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3" t="str">
        <f>IF(N130&gt;0,(1+M167)^(1/$B$3)-1,"NA")</f>
        <v>NA</v>
      </c>
    </row>
    <row r="185" spans="1:13" ht="15.75">
      <c r="A185" s="41">
        <f t="shared" si="41"/>
        <v>12</v>
      </c>
    </row>
    <row r="192" spans="1:13" ht="15.75">
      <c r="A192" s="41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</row>
    <row r="193" spans="1:14" ht="15.75">
      <c r="A193" s="41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</row>
    <row r="194" spans="1:14" ht="15.75">
      <c r="A194" s="41"/>
    </row>
    <row r="195" spans="1:14" ht="15.75">
      <c r="A195" s="4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>
      <c r="A196" s="4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>
      <c r="A197" s="4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>
      <c r="A198" s="41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>
      <c r="A199" s="41"/>
      <c r="F199" s="2"/>
      <c r="G199" s="2"/>
      <c r="H199" s="2"/>
      <c r="I199" s="2"/>
      <c r="J199" s="2"/>
      <c r="K199" s="2"/>
      <c r="L199" s="2"/>
      <c r="M199" s="2"/>
      <c r="N199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06"/>
  <sheetViews>
    <sheetView zoomScale="90" workbookViewId="0"/>
  </sheetViews>
  <sheetFormatPr defaultRowHeight="15"/>
  <cols>
    <col min="1" max="1" width="26.21875" customWidth="1"/>
    <col min="2" max="2" width="9.88671875" customWidth="1"/>
    <col min="3" max="3" width="10.88671875" customWidth="1"/>
    <col min="4" max="4" width="9" bestFit="1" customWidth="1"/>
    <col min="16" max="16" width="8.88671875" style="4"/>
  </cols>
  <sheetData>
    <row r="1" spans="1:39" ht="16.5" thickBot="1">
      <c r="A1" s="1" t="s">
        <v>81</v>
      </c>
      <c r="G1" s="42"/>
      <c r="H1" s="42"/>
      <c r="I1" s="42"/>
      <c r="J1" s="4"/>
      <c r="K1" s="4"/>
      <c r="L1" s="166"/>
      <c r="M1" s="167"/>
      <c r="N1" s="167"/>
      <c r="O1" s="168" t="s">
        <v>35</v>
      </c>
      <c r="Q1" s="4"/>
      <c r="R1" s="4"/>
      <c r="S1" s="4"/>
      <c r="T1" s="4"/>
      <c r="U1" s="4"/>
      <c r="V1" s="4"/>
      <c r="W1" s="4"/>
      <c r="X1" s="45">
        <f>N37</f>
        <v>48.026907597207682</v>
      </c>
      <c r="Y1" s="46">
        <f>N54</f>
        <v>6.4070252045764795E-5</v>
      </c>
      <c r="Z1" s="4"/>
      <c r="AA1" s="4"/>
      <c r="AB1" s="4"/>
      <c r="AC1" s="4"/>
      <c r="AD1" s="4"/>
      <c r="AJ1" s="4"/>
      <c r="AK1" s="4"/>
      <c r="AL1" s="4"/>
      <c r="AM1" s="4"/>
    </row>
    <row r="2" spans="1:39" ht="15.75" thickBot="1">
      <c r="A2" s="5" t="s">
        <v>1</v>
      </c>
      <c r="B2" s="6"/>
      <c r="C2" s="7" t="s">
        <v>2</v>
      </c>
      <c r="D2" s="77"/>
      <c r="E2" s="77"/>
      <c r="F2" s="77"/>
      <c r="G2" s="138"/>
      <c r="H2" s="139"/>
      <c r="I2" s="42"/>
      <c r="J2" s="4"/>
      <c r="K2" s="4"/>
      <c r="L2" s="169"/>
      <c r="M2" s="36" t="s">
        <v>36</v>
      </c>
      <c r="N2" s="37">
        <f>N3/B25</f>
        <v>0.1995085306967056</v>
      </c>
      <c r="O2" s="170">
        <f>N2/SQRT(12*B3)</f>
        <v>0.1995085306967056</v>
      </c>
      <c r="Q2" s="4"/>
      <c r="R2" s="4"/>
      <c r="S2" s="4"/>
      <c r="T2" s="4"/>
      <c r="U2" s="4"/>
      <c r="V2" s="4"/>
      <c r="W2" s="4"/>
      <c r="X2" s="47">
        <f>N36</f>
        <v>53.732666895116999</v>
      </c>
      <c r="Y2" s="48">
        <f>N53</f>
        <v>9.5018507501848002E-4</v>
      </c>
      <c r="Z2" s="4"/>
      <c r="AA2" s="4"/>
      <c r="AB2" s="4"/>
      <c r="AC2" s="4"/>
      <c r="AD2" s="4"/>
      <c r="AJ2" s="4"/>
      <c r="AK2" s="4"/>
      <c r="AL2" s="4"/>
      <c r="AM2" s="4"/>
    </row>
    <row r="3" spans="1:39">
      <c r="A3" s="9" t="s">
        <v>49</v>
      </c>
      <c r="B3" s="10">
        <f>1/12</f>
        <v>8.3333333333333329E-2</v>
      </c>
      <c r="C3" s="11"/>
      <c r="D3" s="78"/>
      <c r="E3" s="78"/>
      <c r="F3" s="78"/>
      <c r="G3" s="81"/>
      <c r="H3" s="83"/>
      <c r="I3" s="4"/>
      <c r="J3" s="4"/>
      <c r="K3" s="4"/>
      <c r="L3" s="171"/>
      <c r="M3" s="55"/>
      <c r="N3" s="55">
        <f>SQRT(N4)</f>
        <v>19.950853069670561</v>
      </c>
      <c r="O3" s="172"/>
      <c r="Q3" s="4"/>
      <c r="R3" s="4"/>
      <c r="S3" s="4"/>
      <c r="T3" s="4"/>
      <c r="U3" s="4"/>
      <c r="V3" s="4"/>
      <c r="W3" s="4"/>
      <c r="X3" s="47">
        <f>N35</f>
        <v>60.116289724001831</v>
      </c>
      <c r="Y3" s="48">
        <f>N52</f>
        <v>6.4586450859003544E-3</v>
      </c>
      <c r="Z3" s="4"/>
      <c r="AA3" s="4"/>
      <c r="AB3" s="4"/>
      <c r="AC3" s="4"/>
      <c r="AD3" s="4"/>
      <c r="AJ3" s="4"/>
      <c r="AK3" s="4"/>
      <c r="AL3" s="4"/>
      <c r="AM3" s="4"/>
    </row>
    <row r="4" spans="1:39">
      <c r="A4" s="9" t="s">
        <v>3</v>
      </c>
      <c r="B4" s="14">
        <v>0.03</v>
      </c>
      <c r="C4" s="11" t="s">
        <v>4</v>
      </c>
      <c r="D4" s="81">
        <f>B4*B$3</f>
        <v>2.4999999999999996E-3</v>
      </c>
      <c r="E4" s="140" t="s">
        <v>117</v>
      </c>
      <c r="F4" s="81">
        <f>(1+D4)^(1/B$3)-1</f>
        <v>3.0415956913506736E-2</v>
      </c>
      <c r="G4" s="78" t="s">
        <v>129</v>
      </c>
      <c r="H4" s="15"/>
      <c r="I4" s="4"/>
      <c r="J4" s="4"/>
      <c r="K4" s="4"/>
      <c r="L4" s="171"/>
      <c r="M4" s="55"/>
      <c r="N4" s="55">
        <f>SUM(N6:N18)</f>
        <v>398.03653820758331</v>
      </c>
      <c r="O4" s="172"/>
      <c r="Q4" s="4"/>
      <c r="R4" s="4"/>
      <c r="S4" s="4"/>
      <c r="T4" s="4"/>
      <c r="U4" s="4"/>
      <c r="V4" s="4"/>
      <c r="W4" s="4"/>
      <c r="X4" s="47">
        <f>N34</f>
        <v>67.258308567381974</v>
      </c>
      <c r="Y4" s="48">
        <f>N51</f>
        <v>2.6606680295423686E-2</v>
      </c>
      <c r="Z4" s="4"/>
      <c r="AA4" s="4"/>
      <c r="AB4" s="4"/>
      <c r="AC4" s="4"/>
      <c r="AD4" s="4"/>
      <c r="AE4" s="16"/>
      <c r="AF4" s="16"/>
      <c r="AG4" s="16"/>
      <c r="AH4" s="16"/>
      <c r="AI4" s="16"/>
      <c r="AJ4" s="4"/>
      <c r="AK4" s="4"/>
      <c r="AL4" s="4"/>
      <c r="AM4" s="4"/>
    </row>
    <row r="5" spans="1:39">
      <c r="A5" s="9" t="s">
        <v>5</v>
      </c>
      <c r="B5" s="14">
        <v>0.09</v>
      </c>
      <c r="C5" s="11" t="s">
        <v>6</v>
      </c>
      <c r="D5" s="81">
        <f>B5*B$3</f>
        <v>7.4999999999999997E-3</v>
      </c>
      <c r="E5" s="140" t="s">
        <v>117</v>
      </c>
      <c r="F5" s="81">
        <f>(1+D5)^(1/B$3)-1</f>
        <v>9.3806897670984268E-2</v>
      </c>
      <c r="G5" s="78" t="s">
        <v>129</v>
      </c>
      <c r="H5" s="12"/>
      <c r="I5" s="4"/>
      <c r="J5" s="4"/>
      <c r="K5" s="4"/>
      <c r="L5" s="171"/>
      <c r="M5" s="55"/>
      <c r="N5" s="55"/>
      <c r="O5" s="172"/>
      <c r="Q5" s="4"/>
      <c r="R5" s="4"/>
      <c r="S5" s="4"/>
      <c r="T5" s="4"/>
      <c r="U5" s="4"/>
      <c r="V5" s="4"/>
      <c r="W5" s="4"/>
      <c r="X5" s="47">
        <f>N33</f>
        <v>75.248823440596567</v>
      </c>
      <c r="Y5" s="48">
        <f>N50</f>
        <v>7.3985009731315207E-2</v>
      </c>
      <c r="Z5" s="4"/>
      <c r="AA5" s="4"/>
      <c r="AB5" s="4"/>
      <c r="AC5" s="4"/>
      <c r="AD5" s="4"/>
      <c r="AE5" s="16"/>
      <c r="AF5" s="16"/>
      <c r="AG5" s="16"/>
      <c r="AH5" s="16"/>
      <c r="AI5" s="16"/>
      <c r="AJ5" s="4"/>
      <c r="AK5" s="4"/>
      <c r="AL5" s="4"/>
      <c r="AM5" s="4"/>
    </row>
    <row r="6" spans="1:39">
      <c r="A6" s="9" t="s">
        <v>8</v>
      </c>
      <c r="B6" s="14">
        <v>0.06</v>
      </c>
      <c r="C6" s="11" t="s">
        <v>9</v>
      </c>
      <c r="D6" s="81">
        <f>B6*B$3</f>
        <v>4.9999999999999992E-3</v>
      </c>
      <c r="E6" s="140" t="s">
        <v>117</v>
      </c>
      <c r="F6" s="81">
        <f>(1+D6)^(1/B$3)-1</f>
        <v>6.1677811864497611E-2</v>
      </c>
      <c r="G6" s="78" t="s">
        <v>129</v>
      </c>
      <c r="H6" s="12"/>
      <c r="I6" s="4"/>
      <c r="J6" s="4"/>
      <c r="K6" s="4"/>
      <c r="L6" s="171">
        <f t="shared" ref="L6:L18" si="0">X1-N$20</f>
        <v>-54.99934815076368</v>
      </c>
      <c r="M6" s="55">
        <f t="shared" ref="M6:M18" si="1">L6^2</f>
        <v>3024.9282970089121</v>
      </c>
      <c r="N6" s="55">
        <f t="shared" ref="N6:N18" si="2">M6*Y1</f>
        <v>0.19380791840972705</v>
      </c>
      <c r="O6" s="172"/>
      <c r="Q6" s="4"/>
      <c r="R6" s="4"/>
      <c r="S6" s="4"/>
      <c r="T6" s="4"/>
      <c r="U6" s="4"/>
      <c r="V6" s="4"/>
      <c r="W6" s="4"/>
      <c r="X6" s="47">
        <f>N32</f>
        <v>84.188638545991438</v>
      </c>
      <c r="Y6" s="48">
        <f>N49</f>
        <v>0.14629660365433131</v>
      </c>
      <c r="Z6" s="4"/>
      <c r="AA6" s="4"/>
      <c r="AB6" s="4"/>
      <c r="AC6" s="4"/>
      <c r="AD6" s="4"/>
      <c r="AE6" s="16"/>
      <c r="AF6" s="16"/>
      <c r="AG6" s="16"/>
      <c r="AH6" s="16"/>
      <c r="AI6" s="16"/>
      <c r="AJ6" s="4"/>
      <c r="AK6" s="4"/>
      <c r="AL6" s="4"/>
      <c r="AM6" s="4"/>
    </row>
    <row r="7" spans="1:39">
      <c r="A7" s="9" t="s">
        <v>10</v>
      </c>
      <c r="B7" s="14">
        <f>(1/B3)*(1.02^(1/12)-1)</f>
        <v>1.9818975623042689E-2</v>
      </c>
      <c r="C7" s="11" t="s">
        <v>11</v>
      </c>
      <c r="D7" s="81">
        <f>B7*B$3</f>
        <v>1.6515813019202241E-3</v>
      </c>
      <c r="E7" s="140" t="s">
        <v>117</v>
      </c>
      <c r="F7" s="81">
        <f>(1+D7)^(1/B$3)-1</f>
        <v>2.0000000000000462E-2</v>
      </c>
      <c r="G7" s="78" t="s">
        <v>129</v>
      </c>
      <c r="H7" s="12"/>
      <c r="I7" s="4"/>
      <c r="J7" s="4"/>
      <c r="K7" s="4"/>
      <c r="L7" s="171">
        <f t="shared" si="0"/>
        <v>-49.293588852854363</v>
      </c>
      <c r="M7" s="55">
        <f t="shared" si="1"/>
        <v>2429.8579019942481</v>
      </c>
      <c r="N7" s="55">
        <f t="shared" si="2"/>
        <v>2.3088147128906509</v>
      </c>
      <c r="O7" s="172"/>
      <c r="Q7" s="4"/>
      <c r="R7" s="4"/>
      <c r="S7" s="4"/>
      <c r="T7" s="4"/>
      <c r="U7" s="4"/>
      <c r="V7" s="4"/>
      <c r="W7" s="4"/>
      <c r="X7" s="47">
        <f>N31</f>
        <v>94.190533966591985</v>
      </c>
      <c r="Y7" s="48">
        <f>N48</f>
        <v>0.21093641444737624</v>
      </c>
      <c r="Z7" s="4"/>
      <c r="AA7" s="4"/>
      <c r="AB7" s="4"/>
      <c r="AC7" s="4"/>
      <c r="AD7" s="4"/>
      <c r="AE7" s="16"/>
      <c r="AF7" s="16"/>
      <c r="AG7" s="16"/>
      <c r="AH7" s="16"/>
      <c r="AI7" s="16"/>
      <c r="AJ7" s="4"/>
      <c r="AK7" s="4"/>
      <c r="AL7" s="4"/>
      <c r="AM7" s="4"/>
    </row>
    <row r="8" spans="1:39">
      <c r="A8" s="9" t="s">
        <v>79</v>
      </c>
      <c r="B8" s="17">
        <v>18</v>
      </c>
      <c r="C8" s="11" t="s">
        <v>16</v>
      </c>
      <c r="D8" s="81">
        <f>(1+D5)/(1+D6)-1</f>
        <v>2.4875621890549926E-3</v>
      </c>
      <c r="E8" s="140" t="s">
        <v>117</v>
      </c>
      <c r="F8" s="81">
        <f>(1+D8)^(1/B$3)-1</f>
        <v>3.0262557479714403E-2</v>
      </c>
      <c r="G8" s="78" t="s">
        <v>129</v>
      </c>
      <c r="H8" s="15"/>
      <c r="I8" s="4"/>
      <c r="J8" s="4"/>
      <c r="K8" s="4"/>
      <c r="L8" s="171">
        <f t="shared" si="0"/>
        <v>-42.909966023969531</v>
      </c>
      <c r="M8" s="55">
        <f t="shared" si="1"/>
        <v>1841.2651841782194</v>
      </c>
      <c r="N8" s="55">
        <f t="shared" si="2"/>
        <v>11.892078333632067</v>
      </c>
      <c r="O8" s="172"/>
      <c r="Q8" s="4"/>
      <c r="R8" s="4"/>
      <c r="S8" s="4"/>
      <c r="T8" s="4"/>
      <c r="U8" s="4"/>
      <c r="V8" s="4"/>
      <c r="W8" s="4"/>
      <c r="X8" s="47">
        <f>N30</f>
        <v>105.38068844129253</v>
      </c>
      <c r="Y8" s="48">
        <f>N47</f>
        <v>0.2234473949477532</v>
      </c>
      <c r="Z8" s="4"/>
      <c r="AA8" s="4"/>
      <c r="AB8" s="4"/>
      <c r="AC8" s="4"/>
      <c r="AD8" s="4"/>
      <c r="AE8" s="16"/>
      <c r="AF8" s="16"/>
      <c r="AG8" s="16"/>
      <c r="AH8" s="16"/>
      <c r="AI8" s="16"/>
      <c r="AJ8" s="4"/>
      <c r="AK8" s="4"/>
      <c r="AL8" s="4"/>
      <c r="AM8" s="4"/>
    </row>
    <row r="9" spans="1:39">
      <c r="A9" s="9" t="s">
        <v>19</v>
      </c>
      <c r="B9" s="18">
        <v>0.2</v>
      </c>
      <c r="C9" s="11" t="s">
        <v>20</v>
      </c>
      <c r="D9" s="81">
        <f>B9*SQRT(B$3)</f>
        <v>5.7735026918962574E-2</v>
      </c>
      <c r="E9" s="78"/>
      <c r="F9" s="78"/>
      <c r="G9" s="78"/>
      <c r="H9" s="12"/>
      <c r="I9" s="4"/>
      <c r="J9" s="4"/>
      <c r="K9" s="4"/>
      <c r="L9" s="171">
        <f t="shared" si="0"/>
        <v>-35.767947180589388</v>
      </c>
      <c r="M9" s="55">
        <f t="shared" si="1"/>
        <v>1279.3460455134323</v>
      </c>
      <c r="N9" s="55">
        <f t="shared" si="2"/>
        <v>34.039151220190455</v>
      </c>
      <c r="O9" s="172"/>
      <c r="Q9" s="4"/>
      <c r="R9" s="4"/>
      <c r="S9" s="135"/>
      <c r="T9" s="4"/>
      <c r="U9" s="4"/>
      <c r="V9" s="4"/>
      <c r="W9" s="4"/>
      <c r="X9" s="47">
        <f>N29</f>
        <v>117.90027117055712</v>
      </c>
      <c r="Y9" s="48">
        <f>N46</f>
        <v>0.17259405768785643</v>
      </c>
      <c r="Z9" s="4"/>
      <c r="AA9" s="4"/>
      <c r="AB9" s="4"/>
      <c r="AC9" s="4"/>
      <c r="AD9" s="4"/>
      <c r="AE9" s="16"/>
      <c r="AF9" s="16"/>
      <c r="AG9" s="16"/>
      <c r="AH9" s="16"/>
      <c r="AI9" s="16"/>
      <c r="AJ9" s="4"/>
      <c r="AK9" s="4"/>
      <c r="AL9" s="4"/>
      <c r="AM9" s="4"/>
    </row>
    <row r="10" spans="1:39">
      <c r="A10" s="9" t="s">
        <v>23</v>
      </c>
      <c r="B10" s="20">
        <v>100</v>
      </c>
      <c r="C10" s="11" t="s">
        <v>24</v>
      </c>
      <c r="D10" s="81">
        <f>(1+D4)/(1+D7)-1</f>
        <v>8.4701977605528E-4</v>
      </c>
      <c r="E10" s="141"/>
      <c r="F10" s="78"/>
      <c r="G10" s="78"/>
      <c r="H10" s="12"/>
      <c r="I10" s="4"/>
      <c r="J10" s="4"/>
      <c r="K10" s="4"/>
      <c r="L10" s="171">
        <f t="shared" si="0"/>
        <v>-27.777432307374795</v>
      </c>
      <c r="M10" s="55">
        <f t="shared" si="1"/>
        <v>771.58574559078909</v>
      </c>
      <c r="N10" s="55">
        <f t="shared" si="2"/>
        <v>57.085778896078629</v>
      </c>
      <c r="O10" s="172"/>
      <c r="Q10" s="4"/>
      <c r="R10" s="4"/>
      <c r="S10" s="4"/>
      <c r="T10" s="4"/>
      <c r="U10" s="4"/>
      <c r="V10" s="4"/>
      <c r="W10" s="4"/>
      <c r="X10" s="47">
        <f>N28</f>
        <v>131.90722273402918</v>
      </c>
      <c r="Y10" s="48">
        <f>N45</f>
        <v>9.4801202681878985E-2</v>
      </c>
      <c r="Z10" s="4"/>
      <c r="AA10" s="4"/>
      <c r="AB10" s="4"/>
      <c r="AC10" s="4"/>
      <c r="AD10" s="4"/>
      <c r="AE10" s="16"/>
      <c r="AF10" s="16"/>
      <c r="AG10" s="16"/>
      <c r="AH10" s="16"/>
      <c r="AI10" s="16"/>
      <c r="AJ10" s="4"/>
      <c r="AK10" s="4"/>
      <c r="AL10" s="4"/>
      <c r="AM10" s="4"/>
    </row>
    <row r="11" spans="1:39">
      <c r="A11" s="9" t="s">
        <v>26</v>
      </c>
      <c r="B11" s="20">
        <f>90/1.02</f>
        <v>88.235294117647058</v>
      </c>
      <c r="C11" s="11" t="s">
        <v>27</v>
      </c>
      <c r="D11" s="142">
        <f>((1+D5)-1/(1+D9))/((1+D9)-1/(1+D9))</f>
        <v>0.5527455166424885</v>
      </c>
      <c r="E11" s="78"/>
      <c r="F11" s="78"/>
      <c r="G11" s="78"/>
      <c r="H11" s="12"/>
      <c r="I11" s="4"/>
      <c r="J11" s="4"/>
      <c r="K11" s="4"/>
      <c r="L11" s="171">
        <f t="shared" si="0"/>
        <v>-18.837617201979924</v>
      </c>
      <c r="M11" s="55">
        <f t="shared" si="1"/>
        <v>354.85582184832992</v>
      </c>
      <c r="N11" s="55">
        <f t="shared" si="2"/>
        <v>51.914201523377123</v>
      </c>
      <c r="O11" s="172"/>
      <c r="Q11" s="24"/>
      <c r="R11" s="4"/>
      <c r="S11" s="4"/>
      <c r="T11" s="4"/>
      <c r="U11" s="4"/>
      <c r="V11" s="4"/>
      <c r="W11" s="24"/>
      <c r="X11" s="47">
        <f>N27</f>
        <v>147.57824758718542</v>
      </c>
      <c r="Y11" s="48">
        <f>N44</f>
        <v>3.5148405463498469E-2</v>
      </c>
      <c r="Z11" s="4"/>
      <c r="AA11" s="4"/>
      <c r="AB11" s="4"/>
      <c r="AC11" s="4"/>
      <c r="AD11" s="4"/>
      <c r="AE11" s="16"/>
      <c r="AF11" s="16"/>
      <c r="AG11" s="16"/>
      <c r="AH11" s="16"/>
      <c r="AI11" s="16"/>
      <c r="AJ11" s="4"/>
      <c r="AK11" s="4"/>
      <c r="AL11" s="4"/>
      <c r="AM11" s="4"/>
    </row>
    <row r="12" spans="1:39" s="16" customFormat="1">
      <c r="A12" s="9"/>
      <c r="B12" s="17"/>
      <c r="C12" s="22" t="s">
        <v>30</v>
      </c>
      <c r="D12" s="143">
        <f>(1+D9)</f>
        <v>1.0577350269189625</v>
      </c>
      <c r="E12" s="78"/>
      <c r="F12" s="78"/>
      <c r="G12" s="78"/>
      <c r="H12" s="144"/>
      <c r="I12" s="4"/>
      <c r="J12" s="4"/>
      <c r="K12" s="4"/>
      <c r="L12" s="171">
        <f t="shared" si="0"/>
        <v>-8.8357217813793767</v>
      </c>
      <c r="M12" s="55">
        <f t="shared" si="1"/>
        <v>78.06997939794195</v>
      </c>
      <c r="N12" s="55">
        <f t="shared" si="2"/>
        <v>16.467801530182406</v>
      </c>
      <c r="O12" s="172"/>
      <c r="P12" s="4"/>
      <c r="Q12" s="4"/>
      <c r="R12" s="4"/>
      <c r="S12" s="4"/>
      <c r="T12" s="4"/>
      <c r="U12" s="4"/>
      <c r="V12" s="4"/>
      <c r="W12" s="24"/>
      <c r="X12" s="47">
        <f>N26</f>
        <v>165.11104327334161</v>
      </c>
      <c r="Y12" s="48">
        <f>N43</f>
        <v>7.897933344644668E-3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16" customFormat="1" ht="15.75" thickBot="1">
      <c r="A13" s="9"/>
      <c r="B13" s="17"/>
      <c r="C13" s="25" t="s">
        <v>31</v>
      </c>
      <c r="D13" s="145">
        <f>1/D12</f>
        <v>0.94541636095087378</v>
      </c>
      <c r="E13" s="146"/>
      <c r="F13" s="86"/>
      <c r="G13" s="86"/>
      <c r="H13" s="87"/>
      <c r="I13" s="4"/>
      <c r="J13" s="4"/>
      <c r="K13" s="4"/>
      <c r="L13" s="171">
        <f t="shared" si="0"/>
        <v>2.3544326933211721</v>
      </c>
      <c r="M13" s="55">
        <f t="shared" si="1"/>
        <v>5.5433533073795882</v>
      </c>
      <c r="N13" s="55">
        <f t="shared" si="2"/>
        <v>1.2386478558089808</v>
      </c>
      <c r="O13" s="172"/>
      <c r="P13" s="4"/>
      <c r="Q13" s="4"/>
      <c r="R13" s="4"/>
      <c r="S13" s="4"/>
      <c r="T13" s="4"/>
      <c r="U13" s="4"/>
      <c r="V13" s="4"/>
      <c r="W13" s="24"/>
      <c r="X13" s="52">
        <f>N25</f>
        <v>184.72679447359479</v>
      </c>
      <c r="Y13" s="53">
        <f>N42</f>
        <v>8.133973329571537E-4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16" customFormat="1" ht="15.75">
      <c r="A14" s="9"/>
      <c r="B14" s="17"/>
      <c r="C14" s="147" t="s">
        <v>33</v>
      </c>
      <c r="D14" s="125">
        <f>B294</f>
        <v>6.7734743816635445</v>
      </c>
      <c r="E14" s="81" t="s">
        <v>57</v>
      </c>
      <c r="F14" s="78"/>
      <c r="G14" s="78"/>
      <c r="H14" s="12"/>
      <c r="I14" s="4"/>
      <c r="J14" s="4"/>
      <c r="K14" s="4"/>
      <c r="L14" s="171">
        <f t="shared" si="0"/>
        <v>14.874015422585757</v>
      </c>
      <c r="M14" s="55">
        <f t="shared" si="1"/>
        <v>221.23633479131894</v>
      </c>
      <c r="N14" s="55">
        <f t="shared" si="2"/>
        <v>38.184076729622824</v>
      </c>
      <c r="O14" s="172"/>
      <c r="P14" s="4"/>
      <c r="Q14" s="4"/>
      <c r="R14" s="4"/>
      <c r="S14" s="4"/>
      <c r="T14" s="4"/>
      <c r="U14" s="4"/>
      <c r="V14" s="4"/>
      <c r="W14" s="2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16" customFormat="1" ht="15.75">
      <c r="A15" s="9"/>
      <c r="B15" s="17"/>
      <c r="C15" s="11"/>
      <c r="D15" s="125">
        <f>B221</f>
        <v>7.4840190596443961</v>
      </c>
      <c r="E15" s="78" t="s">
        <v>34</v>
      </c>
      <c r="F15" s="78"/>
      <c r="G15" s="78"/>
      <c r="H15" s="12"/>
      <c r="I15" s="4"/>
      <c r="J15" s="4"/>
      <c r="K15" s="4"/>
      <c r="L15" s="171">
        <f t="shared" si="0"/>
        <v>28.880966986057814</v>
      </c>
      <c r="M15" s="55">
        <f t="shared" si="1"/>
        <v>834.11025404976135</v>
      </c>
      <c r="N15" s="55">
        <f t="shared" si="2"/>
        <v>79.074655253204995</v>
      </c>
      <c r="O15" s="172"/>
      <c r="P15" s="4"/>
      <c r="Q15" s="4"/>
      <c r="R15" s="4"/>
      <c r="S15" s="4"/>
      <c r="T15" s="4"/>
      <c r="U15" s="4"/>
      <c r="V15" s="4"/>
      <c r="W15" s="2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16" customFormat="1" ht="15.75">
      <c r="A16" s="9"/>
      <c r="B16" s="17"/>
      <c r="C16" s="11"/>
      <c r="D16" s="79" t="s">
        <v>130</v>
      </c>
      <c r="E16" s="148" t="str">
        <f>B239</f>
        <v>hold</v>
      </c>
      <c r="F16" s="78"/>
      <c r="G16" s="78"/>
      <c r="H16" s="12"/>
      <c r="I16" s="4"/>
      <c r="J16" s="4"/>
      <c r="K16" s="4"/>
      <c r="L16" s="171">
        <f t="shared" si="0"/>
        <v>44.551991839214054</v>
      </c>
      <c r="M16" s="55">
        <f t="shared" si="1"/>
        <v>1984.8799768413955</v>
      </c>
      <c r="N16" s="55">
        <f t="shared" si="2"/>
        <v>69.765366222400829</v>
      </c>
      <c r="O16" s="172"/>
      <c r="P16" s="4"/>
      <c r="Q16" s="4"/>
      <c r="R16" s="4"/>
      <c r="S16" s="4"/>
      <c r="T16" s="4"/>
      <c r="U16" s="4"/>
      <c r="V16" s="4"/>
      <c r="W16" s="2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16" customFormat="1" ht="16.5" thickBot="1">
      <c r="A17" s="26" t="s">
        <v>32</v>
      </c>
      <c r="B17" s="149"/>
      <c r="C17" s="150" t="s">
        <v>131</v>
      </c>
      <c r="D17" s="151">
        <f>B277</f>
        <v>0.56822564861321045</v>
      </c>
      <c r="E17" s="152" t="s">
        <v>82</v>
      </c>
      <c r="F17" s="86"/>
      <c r="G17" s="86"/>
      <c r="H17" s="87"/>
      <c r="I17" s="4"/>
      <c r="J17" s="36"/>
      <c r="K17" s="4"/>
      <c r="L17" s="171">
        <f t="shared" si="0"/>
        <v>62.084787525370245</v>
      </c>
      <c r="M17" s="55">
        <f t="shared" si="1"/>
        <v>3854.5208420703689</v>
      </c>
      <c r="N17" s="55">
        <f t="shared" si="2"/>
        <v>30.44274868621541</v>
      </c>
      <c r="O17" s="172"/>
      <c r="P17" s="4"/>
      <c r="Q17" s="4"/>
      <c r="R17" s="4"/>
      <c r="S17" s="4"/>
      <c r="T17" s="4"/>
      <c r="U17" s="4"/>
      <c r="V17" s="4"/>
      <c r="W17" s="2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16" customFormat="1" ht="16.5" thickBot="1">
      <c r="A18" s="4"/>
      <c r="B18" s="4"/>
      <c r="C18" s="30"/>
      <c r="G18" s="4"/>
      <c r="H18" s="4"/>
      <c r="I18" s="4"/>
      <c r="J18" s="4"/>
      <c r="K18" s="4"/>
      <c r="L18" s="173">
        <f t="shared" si="0"/>
        <v>81.700538725623431</v>
      </c>
      <c r="M18" s="174">
        <f t="shared" si="1"/>
        <v>6674.978028057094</v>
      </c>
      <c r="N18" s="174">
        <f t="shared" si="2"/>
        <v>5.4294093255692415</v>
      </c>
      <c r="O18" s="175"/>
      <c r="P18" s="4"/>
      <c r="Q18" s="4"/>
      <c r="R18" s="4"/>
      <c r="S18" s="4"/>
      <c r="T18" s="4"/>
      <c r="U18" s="4"/>
      <c r="V18" s="4"/>
      <c r="W18" s="2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5.75">
      <c r="B19" s="34">
        <v>0</v>
      </c>
      <c r="C19" s="34">
        <v>1</v>
      </c>
      <c r="D19" s="34">
        <v>2</v>
      </c>
      <c r="E19" s="34">
        <v>3</v>
      </c>
      <c r="F19" s="34">
        <v>4</v>
      </c>
      <c r="G19" s="34">
        <v>5</v>
      </c>
      <c r="H19" s="34">
        <v>6</v>
      </c>
      <c r="I19" s="34">
        <v>7</v>
      </c>
      <c r="J19" s="34">
        <v>8</v>
      </c>
      <c r="K19" s="34">
        <v>9</v>
      </c>
      <c r="L19" s="34">
        <v>10</v>
      </c>
      <c r="M19" s="34">
        <v>11</v>
      </c>
      <c r="N19" s="34">
        <v>12</v>
      </c>
      <c r="O19" s="34"/>
      <c r="Q19" s="4"/>
    </row>
    <row r="20" spans="1:39" ht="15.75">
      <c r="B20" s="38" t="s">
        <v>37</v>
      </c>
      <c r="C20" s="88">
        <f t="shared" ref="C20:N20" si="3">SUM(C57:C69)</f>
        <v>100.24875621890548</v>
      </c>
      <c r="D20" s="88">
        <f t="shared" si="3"/>
        <v>100.49813123437542</v>
      </c>
      <c r="E20" s="88">
        <f t="shared" si="3"/>
        <v>100.74812658570472</v>
      </c>
      <c r="F20" s="88">
        <f t="shared" si="3"/>
        <v>100.99874381601744</v>
      </c>
      <c r="G20" s="88">
        <f t="shared" si="3"/>
        <v>101.24998447227622</v>
      </c>
      <c r="H20" s="88">
        <f t="shared" si="3"/>
        <v>101.50185010529184</v>
      </c>
      <c r="I20" s="88">
        <f t="shared" si="3"/>
        <v>101.75434226973292</v>
      </c>
      <c r="J20" s="88">
        <f t="shared" si="3"/>
        <v>102.00746252413524</v>
      </c>
      <c r="K20" s="88">
        <f t="shared" si="3"/>
        <v>102.26121243091174</v>
      </c>
      <c r="L20" s="88">
        <f t="shared" si="3"/>
        <v>102.51559355636175</v>
      </c>
      <c r="M20" s="88">
        <f t="shared" si="3"/>
        <v>102.77060747068109</v>
      </c>
      <c r="N20" s="89">
        <f t="shared" si="3"/>
        <v>103.02625574797136</v>
      </c>
      <c r="O20" s="89"/>
      <c r="Q20" s="4"/>
    </row>
    <row r="21" spans="1:39" ht="15.75">
      <c r="A21" s="93" t="s">
        <v>132</v>
      </c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  <c r="O21" s="89"/>
      <c r="Q21" s="4"/>
    </row>
    <row r="22" spans="1:39" ht="15.75">
      <c r="A22" s="97"/>
      <c r="B22" s="98" t="s">
        <v>140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0"/>
      <c r="O22" s="89"/>
      <c r="Q22" s="4"/>
    </row>
    <row r="23" spans="1:39" s="35" customFormat="1" ht="15.75">
      <c r="A23" s="156" t="s">
        <v>141</v>
      </c>
      <c r="B23" s="157">
        <f t="shared" ref="B23:M23" si="4">B19</f>
        <v>0</v>
      </c>
      <c r="C23" s="157">
        <f t="shared" si="4"/>
        <v>1</v>
      </c>
      <c r="D23" s="157">
        <f t="shared" si="4"/>
        <v>2</v>
      </c>
      <c r="E23" s="157">
        <f t="shared" si="4"/>
        <v>3</v>
      </c>
      <c r="F23" s="157">
        <f t="shared" si="4"/>
        <v>4</v>
      </c>
      <c r="G23" s="157">
        <f t="shared" si="4"/>
        <v>5</v>
      </c>
      <c r="H23" s="157">
        <f t="shared" si="4"/>
        <v>6</v>
      </c>
      <c r="I23" s="157">
        <f t="shared" si="4"/>
        <v>7</v>
      </c>
      <c r="J23" s="157">
        <f t="shared" si="4"/>
        <v>8</v>
      </c>
      <c r="K23" s="157">
        <f t="shared" si="4"/>
        <v>9</v>
      </c>
      <c r="L23" s="157">
        <f t="shared" si="4"/>
        <v>10</v>
      </c>
      <c r="M23" s="157">
        <f t="shared" si="4"/>
        <v>11</v>
      </c>
      <c r="N23" s="158" t="s">
        <v>142</v>
      </c>
      <c r="O23" s="159"/>
      <c r="P23" s="160"/>
      <c r="Q23" s="160"/>
    </row>
    <row r="24" spans="1:39" ht="15.75">
      <c r="A24" s="101" t="s">
        <v>53</v>
      </c>
      <c r="B24" s="7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34"/>
      <c r="Q24" s="42"/>
    </row>
    <row r="25" spans="1:39" ht="15.75">
      <c r="A25" s="101">
        <v>0</v>
      </c>
      <c r="B25" s="102">
        <f>B10</f>
        <v>100</v>
      </c>
      <c r="C25" s="102">
        <f t="shared" ref="C25:N25" si="5">(1+$D$9)/(1+$D$6)*B25</f>
        <v>105.24726636009578</v>
      </c>
      <c r="D25" s="102">
        <f t="shared" si="5"/>
        <v>110.76987076272948</v>
      </c>
      <c r="E25" s="102">
        <f t="shared" si="5"/>
        <v>116.58226092838376</v>
      </c>
      <c r="F25" s="102">
        <f t="shared" si="5"/>
        <v>122.69964268791793</v>
      </c>
      <c r="G25" s="102">
        <f t="shared" si="5"/>
        <v>129.13801976263878</v>
      </c>
      <c r="H25" s="102">
        <f t="shared" si="5"/>
        <v>135.91423563173757</v>
      </c>
      <c r="I25" s="102">
        <f t="shared" si="5"/>
        <v>143.04601759662305</v>
      </c>
      <c r="J25" s="102">
        <f t="shared" si="5"/>
        <v>150.55202315742733</v>
      </c>
      <c r="K25" s="102">
        <f t="shared" si="5"/>
        <v>158.45188882301062</v>
      </c>
      <c r="L25" s="102">
        <f t="shared" si="5"/>
        <v>166.76628148215681</v>
      </c>
      <c r="M25" s="102">
        <f t="shared" si="5"/>
        <v>175.51695247035266</v>
      </c>
      <c r="N25" s="103">
        <f t="shared" si="5"/>
        <v>184.72679447359479</v>
      </c>
      <c r="O25" s="43"/>
      <c r="P25" s="44"/>
    </row>
    <row r="26" spans="1:39" ht="15.75">
      <c r="A26" s="101">
        <f t="shared" ref="A26:A37" si="6">1+A25</f>
        <v>1</v>
      </c>
      <c r="B26" s="102"/>
      <c r="C26" s="102">
        <f t="shared" ref="C26:N26" si="7">1/(1+$D$9)/(1+$D$6)*B25</f>
        <v>94.071279696604364</v>
      </c>
      <c r="D26" s="102">
        <f t="shared" si="7"/>
        <v>99.007450310635903</v>
      </c>
      <c r="E26" s="102">
        <f t="shared" si="7"/>
        <v>104.20263494477445</v>
      </c>
      <c r="F26" s="102">
        <f t="shared" si="7"/>
        <v>109.670424754565</v>
      </c>
      <c r="G26" s="102">
        <f t="shared" si="7"/>
        <v>115.42512405968544</v>
      </c>
      <c r="H26" s="102">
        <f t="shared" si="7"/>
        <v>121.48178776556816</v>
      </c>
      <c r="I26" s="102">
        <f t="shared" si="7"/>
        <v>127.85626074863377</v>
      </c>
      <c r="J26" s="102">
        <f t="shared" si="7"/>
        <v>134.56521930817317</v>
      </c>
      <c r="K26" s="102">
        <f t="shared" si="7"/>
        <v>141.62621479332003</v>
      </c>
      <c r="L26" s="102">
        <f t="shared" si="7"/>
        <v>149.05771951924692</v>
      </c>
      <c r="M26" s="102">
        <f t="shared" si="7"/>
        <v>156.87917509270628</v>
      </c>
      <c r="N26" s="103">
        <f t="shared" si="7"/>
        <v>165.11104327334161</v>
      </c>
      <c r="O26" s="43"/>
      <c r="P26" s="44"/>
    </row>
    <row r="27" spans="1:39" ht="15.75">
      <c r="A27" s="101">
        <f t="shared" si="6"/>
        <v>2</v>
      </c>
      <c r="B27" s="102"/>
      <c r="C27" s="102"/>
      <c r="D27" s="102">
        <f t="shared" ref="D27:N27" si="8">1/(1+$D$9)/(1+$D$6)*C26</f>
        <v>88.494056637567695</v>
      </c>
      <c r="E27" s="102">
        <f t="shared" si="8"/>
        <v>93.137575502194892</v>
      </c>
      <c r="F27" s="102">
        <f t="shared" si="8"/>
        <v>98.02475217013037</v>
      </c>
      <c r="G27" s="102">
        <f t="shared" si="8"/>
        <v>103.16837201532088</v>
      </c>
      <c r="H27" s="102">
        <f t="shared" si="8"/>
        <v>108.58189129433929</v>
      </c>
      <c r="I27" s="102">
        <f t="shared" si="8"/>
        <v>114.27947234938293</v>
      </c>
      <c r="J27" s="102">
        <f t="shared" si="8"/>
        <v>120.27602065846706</v>
      </c>
      <c r="K27" s="102">
        <f t="shared" si="8"/>
        <v>126.58722382974065</v>
      </c>
      <c r="L27" s="102">
        <f t="shared" si="8"/>
        <v>133.22959264193776</v>
      </c>
      <c r="M27" s="102">
        <f t="shared" si="8"/>
        <v>140.22050423833082</v>
      </c>
      <c r="N27" s="103">
        <f t="shared" si="8"/>
        <v>147.57824758718542</v>
      </c>
      <c r="O27" s="43"/>
      <c r="P27" s="44"/>
    </row>
    <row r="28" spans="1:39" ht="15.75">
      <c r="A28" s="101">
        <f t="shared" si="6"/>
        <v>3</v>
      </c>
      <c r="B28" s="102"/>
      <c r="C28" s="102"/>
      <c r="D28" s="102"/>
      <c r="E28" s="102">
        <f t="shared" ref="E28:N28" si="9">1/(1+$D$9)/(1+$D$6)*D27</f>
        <v>83.247491534397795</v>
      </c>
      <c r="F28" s="102">
        <f t="shared" si="9"/>
        <v>87.615709153305829</v>
      </c>
      <c r="G28" s="102">
        <f t="shared" si="9"/>
        <v>92.213138785866605</v>
      </c>
      <c r="H28" s="102">
        <f t="shared" si="9"/>
        <v>97.051807796965818</v>
      </c>
      <c r="I28" s="102">
        <f t="shared" si="9"/>
        <v>102.14437465936082</v>
      </c>
      <c r="J28" s="102">
        <f t="shared" si="9"/>
        <v>107.50416206959167</v>
      </c>
      <c r="K28" s="102">
        <f t="shared" si="9"/>
        <v>113.14519180157221</v>
      </c>
      <c r="L28" s="102">
        <f t="shared" si="9"/>
        <v>119.08222138904195</v>
      </c>
      <c r="M28" s="102">
        <f t="shared" si="9"/>
        <v>125.3307827328439</v>
      </c>
      <c r="N28" s="103">
        <f t="shared" si="9"/>
        <v>131.90722273402918</v>
      </c>
      <c r="O28" s="43"/>
      <c r="P28" s="44"/>
    </row>
    <row r="29" spans="1:39" ht="15.75">
      <c r="A29" s="101">
        <f t="shared" si="6"/>
        <v>4</v>
      </c>
      <c r="B29" s="98"/>
      <c r="C29" s="98"/>
      <c r="D29" s="102"/>
      <c r="E29" s="102"/>
      <c r="F29" s="102">
        <f t="shared" ref="F29:N29" si="10">1/(1+$D$9)/(1+$D$6)*E28</f>
        <v>78.311980601730397</v>
      </c>
      <c r="G29" s="102">
        <f t="shared" si="10"/>
        <v>82.42121881576972</v>
      </c>
      <c r="H29" s="102">
        <f t="shared" si="10"/>
        <v>86.746079704270542</v>
      </c>
      <c r="I29" s="102">
        <f t="shared" si="10"/>
        <v>91.297877563294605</v>
      </c>
      <c r="J29" s="102">
        <f t="shared" si="10"/>
        <v>96.08852038015479</v>
      </c>
      <c r="K29" s="102">
        <f t="shared" si="10"/>
        <v>101.13054098597645</v>
      </c>
      <c r="L29" s="102">
        <f t="shared" si="10"/>
        <v>106.43712984291648</v>
      </c>
      <c r="M29" s="102">
        <f t="shared" si="10"/>
        <v>112.02216955181528</v>
      </c>
      <c r="N29" s="103">
        <f t="shared" si="10"/>
        <v>117.90027117055712</v>
      </c>
      <c r="O29" s="43"/>
      <c r="P29" s="44"/>
    </row>
    <row r="30" spans="1:39" ht="15.75">
      <c r="A30" s="101">
        <f t="shared" si="6"/>
        <v>5</v>
      </c>
      <c r="B30" s="102"/>
      <c r="C30" s="102"/>
      <c r="D30" s="102"/>
      <c r="E30" s="102"/>
      <c r="F30" s="102"/>
      <c r="G30" s="102">
        <f t="shared" ref="G30:N30" si="11">1/(1+$D$9)/(1+$D$6)*F29</f>
        <v>73.669082307804359</v>
      </c>
      <c r="H30" s="102">
        <f t="shared" si="11"/>
        <v>77.534695281533047</v>
      </c>
      <c r="I30" s="102">
        <f t="shared" si="11"/>
        <v>81.603147264443706</v>
      </c>
      <c r="J30" s="102">
        <f t="shared" si="11"/>
        <v>85.885081759630282</v>
      </c>
      <c r="K30" s="102">
        <f t="shared" si="11"/>
        <v>90.391700763144101</v>
      </c>
      <c r="L30" s="102">
        <f t="shared" si="11"/>
        <v>95.134794069607025</v>
      </c>
      <c r="M30" s="102">
        <f t="shared" si="11"/>
        <v>100.12677011556792</v>
      </c>
      <c r="N30" s="103">
        <f t="shared" si="11"/>
        <v>105.38068844129253</v>
      </c>
      <c r="O30" s="43"/>
      <c r="P30" s="44"/>
    </row>
    <row r="31" spans="1:39" ht="15.75">
      <c r="A31" s="101">
        <f t="shared" si="6"/>
        <v>6</v>
      </c>
      <c r="B31" s="102"/>
      <c r="C31" s="161"/>
      <c r="D31" s="102"/>
      <c r="E31" s="102"/>
      <c r="F31" s="102"/>
      <c r="G31" s="102"/>
      <c r="H31" s="102">
        <f t="shared" ref="H31:N31" si="12">1/(1+$D$9)/(1+$D$6)*G30</f>
        <v>69.301448467696318</v>
      </c>
      <c r="I31" s="102">
        <f t="shared" si="12"/>
        <v>72.937880060200868</v>
      </c>
      <c r="J31" s="102">
        <f t="shared" si="12"/>
        <v>76.7651249043668</v>
      </c>
      <c r="K31" s="102">
        <f t="shared" si="12"/>
        <v>80.793195479759149</v>
      </c>
      <c r="L31" s="102">
        <f t="shared" si="12"/>
        <v>85.03262964741495</v>
      </c>
      <c r="M31" s="102">
        <f t="shared" si="12"/>
        <v>89.494518218008608</v>
      </c>
      <c r="N31" s="103">
        <f t="shared" si="12"/>
        <v>94.190533966591985</v>
      </c>
      <c r="O31" s="43"/>
      <c r="P31" s="44"/>
    </row>
    <row r="32" spans="1:39" ht="15.75">
      <c r="A32" s="101">
        <f t="shared" si="6"/>
        <v>7</v>
      </c>
      <c r="B32" s="102"/>
      <c r="C32" s="102"/>
      <c r="D32" s="102"/>
      <c r="E32" s="102"/>
      <c r="F32" s="102"/>
      <c r="G32" s="102"/>
      <c r="H32" s="102"/>
      <c r="I32" s="102">
        <f t="shared" ref="I32:N32" si="13">1/(1+$D$9)/(1+$D$6)*H31</f>
        <v>65.192759421844741</v>
      </c>
      <c r="J32" s="102">
        <f t="shared" si="13"/>
        <v>68.613597156205387</v>
      </c>
      <c r="K32" s="102">
        <f t="shared" si="13"/>
        <v>72.213935358234593</v>
      </c>
      <c r="L32" s="102">
        <f t="shared" si="13"/>
        <v>76.003192895588555</v>
      </c>
      <c r="M32" s="102">
        <f t="shared" si="13"/>
        <v>79.991282868997445</v>
      </c>
      <c r="N32" s="103">
        <f t="shared" si="13"/>
        <v>84.188638545991438</v>
      </c>
      <c r="O32" s="43"/>
      <c r="P32" s="44"/>
    </row>
    <row r="33" spans="1:17" ht="15.75">
      <c r="A33" s="101">
        <f t="shared" si="6"/>
        <v>8</v>
      </c>
      <c r="B33" s="102"/>
      <c r="C33" s="161"/>
      <c r="D33" s="102"/>
      <c r="E33" s="102"/>
      <c r="F33" s="102"/>
      <c r="G33" s="102"/>
      <c r="H33" s="102"/>
      <c r="I33" s="102"/>
      <c r="J33" s="102">
        <f>1/(1+$D$9)/(1+$D$6)*I32</f>
        <v>61.327663057657965</v>
      </c>
      <c r="K33" s="102">
        <f>1/(1+$D$9)/(1+$D$6)*J32</f>
        <v>64.545688890715354</v>
      </c>
      <c r="L33" s="102">
        <f>1/(1+$D$9)/(1+$D$6)*K32</f>
        <v>67.932573110769937</v>
      </c>
      <c r="M33" s="102">
        <f>1/(1+$D$9)/(1+$D$6)*L32</f>
        <v>71.497176167158855</v>
      </c>
      <c r="N33" s="103">
        <f>1/(1+$D$9)/(1+$D$6)*M32</f>
        <v>75.248823440596567</v>
      </c>
      <c r="O33" s="43"/>
      <c r="P33" s="44"/>
    </row>
    <row r="34" spans="1:17" ht="15.75">
      <c r="A34" s="101">
        <f t="shared" si="6"/>
        <v>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>
        <f>1/(1+$D$9)/(1+$D$6)*J33</f>
        <v>57.691717446360535</v>
      </c>
      <c r="L34" s="102">
        <f>1/(1+$D$9)/(1+$D$6)*K33</f>
        <v>60.718955528484933</v>
      </c>
      <c r="M34" s="102">
        <f>1/(1+$D$9)/(1+$D$6)*L33</f>
        <v>63.905040856132636</v>
      </c>
      <c r="N34" s="103">
        <f>1/(1+$D$9)/(1+$D$6)*M33</f>
        <v>67.258308567381974</v>
      </c>
      <c r="O34" s="43"/>
      <c r="P34" s="44"/>
    </row>
    <row r="35" spans="1:17" ht="15.75">
      <c r="A35" s="101">
        <f t="shared" si="6"/>
        <v>10</v>
      </c>
      <c r="B35" s="102"/>
      <c r="C35" s="161"/>
      <c r="D35" s="102"/>
      <c r="E35" s="102"/>
      <c r="F35" s="102"/>
      <c r="G35" s="102"/>
      <c r="H35" s="102"/>
      <c r="I35" s="102"/>
      <c r="J35" s="102"/>
      <c r="K35" s="102"/>
      <c r="L35" s="102">
        <f>1/(1+$D$9)/(1+$D$6)*K34</f>
        <v>54.27133688074052</v>
      </c>
      <c r="M35" s="102">
        <f>1/(1+$D$9)/(1+$D$6)*L34</f>
        <v>57.119098484057886</v>
      </c>
      <c r="N35" s="103">
        <f>1/(1+$D$9)/(1+$D$6)*M34</f>
        <v>60.116289724001831</v>
      </c>
      <c r="O35" s="43"/>
      <c r="P35" s="44"/>
    </row>
    <row r="36" spans="1:17" ht="15.75">
      <c r="A36" s="101">
        <f t="shared" si="6"/>
        <v>11</v>
      </c>
      <c r="B36" s="102"/>
      <c r="C36" s="161"/>
      <c r="D36" s="104"/>
      <c r="E36" s="104"/>
      <c r="F36" s="102"/>
      <c r="G36" s="102"/>
      <c r="H36" s="102"/>
      <c r="I36" s="102"/>
      <c r="J36" s="102"/>
      <c r="K36" s="102"/>
      <c r="L36" s="102"/>
      <c r="M36" s="102">
        <f>1/(1+$D$9)/(1+$D$6)*L35</f>
        <v>51.05374111216782</v>
      </c>
      <c r="N36" s="103">
        <f>1/(1+$D$9)/(1+$D$6)*M35</f>
        <v>53.732666895116999</v>
      </c>
      <c r="O36" s="43"/>
      <c r="P36" s="44"/>
    </row>
    <row r="37" spans="1:17" ht="15.75">
      <c r="A37" s="107">
        <f t="shared" si="6"/>
        <v>12</v>
      </c>
      <c r="B37" s="114"/>
      <c r="C37" s="114"/>
      <c r="D37" s="114"/>
      <c r="E37" s="162"/>
      <c r="F37" s="162"/>
      <c r="G37" s="114"/>
      <c r="H37" s="114"/>
      <c r="I37" s="114"/>
      <c r="J37" s="114"/>
      <c r="K37" s="114"/>
      <c r="L37" s="114"/>
      <c r="M37" s="114"/>
      <c r="N37" s="115">
        <f>1/(1+$D$9)/(1+$D$6)*M36</f>
        <v>48.026907597207682</v>
      </c>
      <c r="O37" s="43"/>
      <c r="P37" s="44"/>
    </row>
    <row r="38" spans="1:17" ht="15.75">
      <c r="A38" s="41"/>
      <c r="B38" s="54"/>
      <c r="C38" s="54"/>
      <c r="D38" s="13"/>
      <c r="P38" s="44"/>
      <c r="Q38" s="55"/>
    </row>
    <row r="39" spans="1:17" ht="15.75">
      <c r="B39" s="56" t="s">
        <v>39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4"/>
      <c r="Q39" s="55"/>
    </row>
    <row r="40" spans="1:17" ht="15.75">
      <c r="B40" s="34" t="s">
        <v>51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 t="s">
        <v>52</v>
      </c>
      <c r="O40" s="35"/>
      <c r="P40" s="36"/>
      <c r="Q40" s="55"/>
    </row>
    <row r="41" spans="1:17" ht="15.75">
      <c r="A41" s="41" t="s">
        <v>53</v>
      </c>
      <c r="B41" s="57">
        <v>0</v>
      </c>
      <c r="C41" s="58">
        <v>1</v>
      </c>
      <c r="D41" s="58">
        <v>2</v>
      </c>
      <c r="E41" s="58">
        <v>3</v>
      </c>
      <c r="F41" s="58">
        <v>4</v>
      </c>
      <c r="G41" s="58">
        <v>5</v>
      </c>
      <c r="H41" s="58">
        <v>6</v>
      </c>
      <c r="I41" s="58">
        <v>7</v>
      </c>
      <c r="J41" s="58">
        <v>8</v>
      </c>
      <c r="K41" s="58">
        <v>9</v>
      </c>
      <c r="L41" s="58">
        <v>10</v>
      </c>
      <c r="M41" s="58">
        <v>11</v>
      </c>
      <c r="N41" s="58">
        <v>12</v>
      </c>
      <c r="O41" s="90"/>
      <c r="P41" s="59"/>
    </row>
    <row r="42" spans="1:17" ht="15.75">
      <c r="A42" s="41">
        <v>0</v>
      </c>
      <c r="B42" s="60">
        <f t="shared" ref="B42:N42" si="14">(FACT(B$19)/(FACT(B$19-$A42)*FACT($A42)))*$D$11^(B$19-$A42)*(1-$D$11)^($A42)</f>
        <v>1</v>
      </c>
      <c r="C42" s="60">
        <f t="shared" si="14"/>
        <v>0.5527455166424885</v>
      </c>
      <c r="D42" s="60">
        <f t="shared" si="14"/>
        <v>0.30552760616837155</v>
      </c>
      <c r="E42" s="60">
        <f t="shared" si="14"/>
        <v>0.16887901452007928</v>
      </c>
      <c r="F42" s="60">
        <f t="shared" si="14"/>
        <v>9.3347118130975543E-2</v>
      </c>
      <c r="G42" s="60">
        <f t="shared" si="14"/>
        <v>5.1597201038393485E-2</v>
      </c>
      <c r="H42" s="60">
        <f t="shared" si="14"/>
        <v>2.8520121545273152E-2</v>
      </c>
      <c r="I42" s="60">
        <f t="shared" si="14"/>
        <v>1.5764369318248574E-2</v>
      </c>
      <c r="J42" s="60">
        <f t="shared" si="14"/>
        <v>8.7136844633583024E-3</v>
      </c>
      <c r="K42" s="60">
        <f t="shared" si="14"/>
        <v>4.8164500205586103E-3</v>
      </c>
      <c r="L42" s="60">
        <f t="shared" si="14"/>
        <v>2.6622711549963932E-3</v>
      </c>
      <c r="M42" s="60">
        <f t="shared" si="14"/>
        <v>1.471558445010876E-3</v>
      </c>
      <c r="N42" s="60">
        <f t="shared" si="14"/>
        <v>8.133973329571537E-4</v>
      </c>
      <c r="O42" s="60"/>
      <c r="P42" s="61"/>
    </row>
    <row r="43" spans="1:17" ht="15.75">
      <c r="A43" s="41">
        <f t="shared" ref="A43:A54" si="15">1+A42</f>
        <v>1</v>
      </c>
      <c r="B43" s="60"/>
      <c r="C43" s="60">
        <f t="shared" ref="C43:N43" si="16">(FACT(C$19)/(FACT(C$19-$A43)*FACT($A43)))*$D$11^(C$19-$A43)*(1-$D$11)^($A43)</f>
        <v>0.4472544833575115</v>
      </c>
      <c r="D43" s="60">
        <f t="shared" si="16"/>
        <v>0.49443582094823396</v>
      </c>
      <c r="E43" s="60">
        <f t="shared" si="16"/>
        <v>0.40994577494487677</v>
      </c>
      <c r="F43" s="60">
        <f t="shared" si="16"/>
        <v>0.30212758555641495</v>
      </c>
      <c r="G43" s="60">
        <f t="shared" si="16"/>
        <v>0.20874958546291028</v>
      </c>
      <c r="H43" s="60">
        <f t="shared" si="16"/>
        <v>0.13846247695872199</v>
      </c>
      <c r="I43" s="60">
        <f t="shared" si="16"/>
        <v>8.9290265589172038E-2</v>
      </c>
      <c r="J43" s="60">
        <f t="shared" si="16"/>
        <v>5.640547883912217E-2</v>
      </c>
      <c r="K43" s="60">
        <f t="shared" si="16"/>
        <v>3.507510998519723E-2</v>
      </c>
      <c r="L43" s="60">
        <f t="shared" si="16"/>
        <v>2.154178865562217E-2</v>
      </c>
      <c r="M43" s="60">
        <f t="shared" si="16"/>
        <v>1.3097839809840691E-2</v>
      </c>
      <c r="N43" s="60">
        <f t="shared" si="16"/>
        <v>7.897933344644668E-3</v>
      </c>
      <c r="O43" s="60"/>
      <c r="P43" s="61"/>
    </row>
    <row r="44" spans="1:17" ht="15.75">
      <c r="A44" s="41">
        <f t="shared" si="15"/>
        <v>2</v>
      </c>
      <c r="B44" s="60"/>
      <c r="C44" s="60"/>
      <c r="D44" s="60">
        <f t="shared" ref="D44:N44" si="17">(FACT(D$19)/(FACT(D$19-$A44)*FACT($A44)))*$D$11^(D$19-$A44)*(1-$D$11)^($A44)</f>
        <v>0.20003657288339452</v>
      </c>
      <c r="E44" s="60">
        <f t="shared" si="17"/>
        <v>0.33170795647747409</v>
      </c>
      <c r="F44" s="60">
        <f t="shared" si="17"/>
        <v>0.36670017155513107</v>
      </c>
      <c r="G44" s="60">
        <f t="shared" si="17"/>
        <v>0.3378197929652168</v>
      </c>
      <c r="H44" s="60">
        <f t="shared" si="17"/>
        <v>0.28009256399192589</v>
      </c>
      <c r="I44" s="60">
        <f t="shared" si="17"/>
        <v>0.21674787258801093</v>
      </c>
      <c r="J44" s="60">
        <f t="shared" si="17"/>
        <v>0.1597418864197605</v>
      </c>
      <c r="K44" s="60">
        <f t="shared" si="17"/>
        <v>0.11352421483526084</v>
      </c>
      <c r="L44" s="60">
        <f t="shared" si="17"/>
        <v>7.84375009756864E-2</v>
      </c>
      <c r="M44" s="60">
        <f t="shared" si="17"/>
        <v>5.2990638556718463E-2</v>
      </c>
      <c r="N44" s="60">
        <f t="shared" si="17"/>
        <v>3.5148405463498469E-2</v>
      </c>
      <c r="O44" s="60"/>
      <c r="P44" s="61"/>
    </row>
    <row r="45" spans="1:17" ht="15.75">
      <c r="A45" s="41">
        <f t="shared" si="15"/>
        <v>3</v>
      </c>
      <c r="B45" s="60"/>
      <c r="C45" s="60"/>
      <c r="D45" s="60"/>
      <c r="E45" s="60">
        <f t="shared" ref="E45:N45" si="18">(FACT(E$19)/(FACT(E$19-$A45)*FACT($A45)))*$D$11^(E$19-$A45)*(1-$D$11)^($A45)</f>
        <v>8.9467254057569806E-2</v>
      </c>
      <c r="F45" s="60">
        <f t="shared" si="18"/>
        <v>0.19781049426654479</v>
      </c>
      <c r="G45" s="60">
        <f t="shared" si="18"/>
        <v>0.27334715962666828</v>
      </c>
      <c r="H45" s="60">
        <f t="shared" si="18"/>
        <v>0.30218283394119905</v>
      </c>
      <c r="I45" s="60">
        <f t="shared" si="18"/>
        <v>0.29230286166780894</v>
      </c>
      <c r="J45" s="60">
        <f t="shared" si="18"/>
        <v>0.25851055406184142</v>
      </c>
      <c r="K45" s="60">
        <f t="shared" si="18"/>
        <v>0.21433582464367279</v>
      </c>
      <c r="L45" s="60">
        <f t="shared" si="18"/>
        <v>0.16924738018237245</v>
      </c>
      <c r="M45" s="60">
        <f t="shared" si="18"/>
        <v>0.12863225457402805</v>
      </c>
      <c r="N45" s="60">
        <f t="shared" si="18"/>
        <v>9.4801202681878985E-2</v>
      </c>
      <c r="O45" s="60"/>
      <c r="P45" s="61"/>
    </row>
    <row r="46" spans="1:17" ht="15.75">
      <c r="A46" s="41">
        <f t="shared" si="15"/>
        <v>4</v>
      </c>
      <c r="B46" s="60"/>
      <c r="C46" s="60"/>
      <c r="D46" s="60"/>
      <c r="E46" s="60"/>
      <c r="F46" s="60">
        <f t="shared" ref="F46:N46" si="19">(FACT(F$19)/(FACT(F$19-$A46)*FACT($A46)))*$D$11^(F$19-$A46)*(1-$D$11)^($A46)</f>
        <v>4.0014630490933609E-2</v>
      </c>
      <c r="G46" s="60">
        <f t="shared" si="19"/>
        <v>0.11058953801984686</v>
      </c>
      <c r="H46" s="60">
        <f t="shared" si="19"/>
        <v>0.18338361398410313</v>
      </c>
      <c r="I46" s="60">
        <f t="shared" si="19"/>
        <v>0.23651709772928944</v>
      </c>
      <c r="J46" s="60">
        <f t="shared" si="19"/>
        <v>0.26146753075831608</v>
      </c>
      <c r="K46" s="60">
        <f t="shared" si="19"/>
        <v>0.26014500967363413</v>
      </c>
      <c r="L46" s="60">
        <f t="shared" si="19"/>
        <v>0.23965664629003014</v>
      </c>
      <c r="M46" s="60">
        <f t="shared" si="19"/>
        <v>0.20816578635346811</v>
      </c>
      <c r="N46" s="60">
        <f t="shared" si="19"/>
        <v>0.17259405768785643</v>
      </c>
      <c r="O46" s="60"/>
      <c r="P46" s="61"/>
    </row>
    <row r="47" spans="1:17" ht="15.75">
      <c r="A47" s="41">
        <f t="shared" si="15"/>
        <v>5</v>
      </c>
      <c r="B47" s="60"/>
      <c r="C47" s="60"/>
      <c r="D47" s="60"/>
      <c r="E47" s="60"/>
      <c r="F47" s="60"/>
      <c r="G47" s="60">
        <f t="shared" ref="G47:N47" si="20">(FACT(G$19)/(FACT(G$19-$A47)*FACT($A47)))*$D$11^(G$19-$A47)*(1-$D$11)^($A47)</f>
        <v>1.7896722886964238E-2</v>
      </c>
      <c r="H47" s="60">
        <f t="shared" si="20"/>
        <v>5.9354000030174971E-2</v>
      </c>
      <c r="I47" s="60">
        <f t="shared" si="20"/>
        <v>0.11482680094017071</v>
      </c>
      <c r="J47" s="60">
        <f t="shared" si="20"/>
        <v>0.16925333176021023</v>
      </c>
      <c r="K47" s="60">
        <f t="shared" si="20"/>
        <v>0.21049654569133483</v>
      </c>
      <c r="L47" s="60">
        <f t="shared" si="20"/>
        <v>0.23270204379923212</v>
      </c>
      <c r="M47" s="60">
        <f t="shared" si="20"/>
        <v>0.23581252094321087</v>
      </c>
      <c r="N47" s="60">
        <f t="shared" si="20"/>
        <v>0.2234473949477532</v>
      </c>
      <c r="O47" s="60"/>
      <c r="P47" s="61"/>
    </row>
    <row r="48" spans="1:17" ht="15.75">
      <c r="A48" s="41">
        <f t="shared" si="15"/>
        <v>6</v>
      </c>
      <c r="B48" s="60"/>
      <c r="C48" s="60"/>
      <c r="D48" s="60"/>
      <c r="E48" s="60"/>
      <c r="F48" s="60"/>
      <c r="G48" s="60"/>
      <c r="H48" s="60">
        <f t="shared" ref="H48:N48" si="21">(FACT(H$19)/(FACT(H$19-$A48)*FACT($A48)))*$D$11^(H$19-$A48)*(1-$D$11)^($A48)</f>
        <v>8.0043895486017411E-3</v>
      </c>
      <c r="I48" s="60">
        <f t="shared" si="21"/>
        <v>3.0970733055147231E-2</v>
      </c>
      <c r="J48" s="60">
        <f t="shared" si="21"/>
        <v>6.8475735373455818E-2</v>
      </c>
      <c r="K48" s="60">
        <f t="shared" si="21"/>
        <v>0.11354896717942548</v>
      </c>
      <c r="L48" s="60">
        <f t="shared" si="21"/>
        <v>0.15690920631953126</v>
      </c>
      <c r="M48" s="60">
        <f t="shared" si="21"/>
        <v>0.1908078926887147</v>
      </c>
      <c r="N48" s="60">
        <f t="shared" si="21"/>
        <v>0.21093641444737624</v>
      </c>
      <c r="O48" s="60"/>
      <c r="P48" s="61"/>
    </row>
    <row r="49" spans="1:16" ht="15.75">
      <c r="A49" s="41">
        <f t="shared" si="15"/>
        <v>7</v>
      </c>
      <c r="B49" s="60"/>
      <c r="C49" s="60"/>
      <c r="D49" s="60"/>
      <c r="E49" s="60"/>
      <c r="F49" s="60"/>
      <c r="G49" s="60"/>
      <c r="H49" s="60"/>
      <c r="I49" s="60">
        <f t="shared" ref="I49:N49" si="22">(FACT(I$19)/(FACT(I$19-$A49)*FACT($A49)))*$D$11^(I$19-$A49)*(1-$D$11)^($A49)</f>
        <v>3.5799991121521365E-3</v>
      </c>
      <c r="J49" s="60">
        <f t="shared" si="22"/>
        <v>1.5830627670609464E-2</v>
      </c>
      <c r="K49" s="60">
        <f t="shared" si="22"/>
        <v>3.9376388117546561E-2</v>
      </c>
      <c r="L49" s="60">
        <f t="shared" si="22"/>
        <v>7.2550406645161394E-2</v>
      </c>
      <c r="M49" s="60">
        <f t="shared" si="22"/>
        <v>0.1102802580101815</v>
      </c>
      <c r="N49" s="60">
        <f t="shared" si="22"/>
        <v>0.14629660365433131</v>
      </c>
      <c r="O49" s="60"/>
      <c r="P49" s="61"/>
    </row>
    <row r="50" spans="1:16" ht="15.75">
      <c r="A50" s="41">
        <f t="shared" si="15"/>
        <v>8</v>
      </c>
      <c r="B50" s="60"/>
      <c r="C50" s="60"/>
      <c r="D50" s="60"/>
      <c r="E50" s="60"/>
      <c r="F50" s="60"/>
      <c r="G50" s="60"/>
      <c r="H50" s="60"/>
      <c r="I50" s="60"/>
      <c r="J50" s="60">
        <f>(FACT(J$19)/(FACT(J$19-$A50)*FACT($A50)))*$D$11^(J$19-$A50)*(1-$D$11)^($A50)</f>
        <v>1.6011706533259537E-3</v>
      </c>
      <c r="K50" s="60">
        <f>(FACT(K$19)/(FACT(K$19-$A50)*FACT($A50)))*$D$11^(K$19-$A50)*(1-$D$11)^($A50)</f>
        <v>7.9653591000490073E-3</v>
      </c>
      <c r="L50" s="60">
        <f>(FACT(L$19)/(FACT(L$19-$A50)*FACT($A50)))*$D$11^(L$19-$A50)*(1-$D$11)^($A50)</f>
        <v>2.2014082654997675E-2</v>
      </c>
      <c r="M50" s="60">
        <f>(FACT(M$19)/(FACT(M$19-$A50)*FACT($A50)))*$D$11^(M$19-$A50)*(1-$D$11)^($A50)</f>
        <v>4.4616680132006169E-2</v>
      </c>
      <c r="N50" s="60">
        <f>(FACT(N$19)/(FACT(N$19-$A50)*FACT($A50)))*$D$11^(N$19-$A50)*(1-$D$11)^($A50)</f>
        <v>7.3985009731315207E-2</v>
      </c>
      <c r="O50" s="60"/>
      <c r="P50" s="61"/>
    </row>
    <row r="51" spans="1:16" ht="15.75">
      <c r="A51" s="41">
        <f t="shared" si="15"/>
        <v>9</v>
      </c>
      <c r="B51" s="60"/>
      <c r="C51" s="60"/>
      <c r="D51" s="60"/>
      <c r="E51" s="60"/>
      <c r="F51" s="60"/>
      <c r="G51" s="60"/>
      <c r="H51" s="60"/>
      <c r="I51" s="60"/>
      <c r="J51" s="60"/>
      <c r="K51" s="60">
        <f>(FACT(K$19)/(FACT(K$19-$A51)*FACT($A51)))*$D$11^(K$19-$A51)*(1-$D$11)^($A51)</f>
        <v>7.1613075332050856E-4</v>
      </c>
      <c r="L51" s="60">
        <f>(FACT(L$19)/(FACT(L$19-$A51)*FACT($A51)))*$D$11^(L$19-$A51)*(1-$D$11)^($A51)</f>
        <v>3.9583806322771899E-3</v>
      </c>
      <c r="M51" s="60">
        <f>(FACT(M$19)/(FACT(M$19-$A51)*FACT($A51)))*$D$11^(M$19-$A51)*(1-$D$11)^($A51)</f>
        <v>1.2033874312106216E-2</v>
      </c>
      <c r="N51" s="60">
        <f>(FACT(N$19)/(FACT(N$19-$A51)*FACT($A51)))*$D$11^(N$19-$A51)*(1-$D$11)^($A51)</f>
        <v>2.6606680295423686E-2</v>
      </c>
      <c r="O51" s="60"/>
      <c r="P51" s="61"/>
    </row>
    <row r="52" spans="1:16" ht="15.75">
      <c r="A52" s="41">
        <f t="shared" si="15"/>
        <v>10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>
        <f>(FACT(L$19)/(FACT(L$19-$A52)*FACT($A52)))*$D$11^(L$19-$A52)*(1-$D$11)^($A52)</f>
        <v>3.2029269009278957E-4</v>
      </c>
      <c r="M52" s="60">
        <f>(FACT(M$19)/(FACT(M$19-$A52)*FACT($A52)))*$D$11^(M$19-$A52)*(1-$D$11)^($A52)</f>
        <v>1.9474438330836657E-3</v>
      </c>
      <c r="N52" s="60">
        <f>(FACT(N$19)/(FACT(N$19-$A52)*FACT($A52)))*$D$11^(N$19-$A52)*(1-$D$11)^($A52)</f>
        <v>6.4586450859003544E-3</v>
      </c>
      <c r="O52" s="60"/>
      <c r="P52" s="61"/>
    </row>
    <row r="53" spans="1:16" ht="15.75">
      <c r="A53" s="41">
        <f t="shared" si="15"/>
        <v>11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>
        <f>(FACT(M$19)/(FACT(M$19-$A53)*FACT($A53)))*$D$11^(M$19-$A53)*(1-$D$11)^($A53)</f>
        <v>1.4325234163063813E-4</v>
      </c>
      <c r="N53" s="60">
        <f>(FACT(N$19)/(FACT(N$19-$A53)*FACT($A53)))*$D$11^(N$19-$A53)*(1-$D$11)^($A53)</f>
        <v>9.5018507501848002E-4</v>
      </c>
      <c r="O53" s="60"/>
      <c r="P53" s="61"/>
    </row>
    <row r="54" spans="1:16" ht="15.75">
      <c r="A54" s="41">
        <f t="shared" si="15"/>
        <v>12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>
        <f>(FACT(N$19)/(FACT(N$19-$A54)*FACT($A54)))*$D$11^(N$19-$A54)*(1-$D$11)^($A54)</f>
        <v>6.4070252045764795E-5</v>
      </c>
      <c r="O54" s="60"/>
      <c r="P54" s="61"/>
    </row>
    <row r="55" spans="1:16" ht="15.75" thickBot="1"/>
    <row r="56" spans="1:16">
      <c r="B56" s="62" t="s">
        <v>40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3"/>
      <c r="O56" s="4"/>
    </row>
    <row r="57" spans="1:16">
      <c r="B57" s="64">
        <f t="shared" ref="B57:N57" si="23">B42*B25</f>
        <v>100</v>
      </c>
      <c r="C57" s="10">
        <f t="shared" si="23"/>
        <v>58.174954619420738</v>
      </c>
      <c r="D57" s="10">
        <f t="shared" si="23"/>
        <v>33.843253449716627</v>
      </c>
      <c r="E57" s="10">
        <f t="shared" si="23"/>
        <v>19.688297336108192</v>
      </c>
      <c r="F57" s="10">
        <f t="shared" si="23"/>
        <v>11.453658040617565</v>
      </c>
      <c r="G57" s="10">
        <f t="shared" si="23"/>
        <v>6.6631603673929041</v>
      </c>
      <c r="H57" s="10">
        <f t="shared" si="23"/>
        <v>3.8762905199500506</v>
      </c>
      <c r="I57" s="10">
        <f t="shared" si="23"/>
        <v>2.2550302508978497</v>
      </c>
      <c r="J57" s="10">
        <f t="shared" si="23"/>
        <v>1.3118628251140338</v>
      </c>
      <c r="K57" s="10">
        <f t="shared" si="23"/>
        <v>0.76317560317914013</v>
      </c>
      <c r="L57" s="10">
        <f t="shared" si="23"/>
        <v>0.44397706081595523</v>
      </c>
      <c r="M57" s="10">
        <f t="shared" si="23"/>
        <v>0.25828345365032002</v>
      </c>
      <c r="N57" s="65">
        <f t="shared" si="23"/>
        <v>0.15025628195054627</v>
      </c>
      <c r="O57" s="135"/>
    </row>
    <row r="58" spans="1:16">
      <c r="B58" s="64"/>
      <c r="C58" s="10">
        <f t="shared" ref="C58:N58" si="24">C43*C26</f>
        <v>42.073801599484746</v>
      </c>
      <c r="D58" s="10">
        <f t="shared" si="24"/>
        <v>48.952829974330747</v>
      </c>
      <c r="E58" s="10">
        <f t="shared" si="24"/>
        <v>42.717429933733655</v>
      </c>
      <c r="F58" s="10">
        <f t="shared" si="24"/>
        <v>33.134460638043208</v>
      </c>
      <c r="G58" s="10">
        <f t="shared" si="24"/>
        <v>24.094946799464328</v>
      </c>
      <c r="H58" s="10">
        <f t="shared" si="24"/>
        <v>16.820669239394338</v>
      </c>
      <c r="I58" s="10">
        <f t="shared" si="24"/>
        <v>11.416319479483942</v>
      </c>
      <c r="J58" s="10">
        <f t="shared" si="24"/>
        <v>7.5902156301689958</v>
      </c>
      <c r="K58" s="10">
        <f t="shared" si="24"/>
        <v>4.9675550606628667</v>
      </c>
      <c r="L58" s="10">
        <f t="shared" si="24"/>
        <v>3.2109698913726246</v>
      </c>
      <c r="M58" s="10">
        <f t="shared" si="24"/>
        <v>2.0547783048642163</v>
      </c>
      <c r="N58" s="65">
        <f t="shared" si="24"/>
        <v>1.3040360142375933</v>
      </c>
      <c r="O58" s="135"/>
    </row>
    <row r="59" spans="1:16">
      <c r="B59" s="64"/>
      <c r="C59" s="10"/>
      <c r="D59" s="10">
        <f t="shared" ref="D59:N59" si="25">D44*D27</f>
        <v>17.702047810328054</v>
      </c>
      <c r="E59" s="10">
        <f t="shared" si="25"/>
        <v>30.89447484109952</v>
      </c>
      <c r="F59" s="10">
        <f t="shared" si="25"/>
        <v>35.945693437436013</v>
      </c>
      <c r="G59" s="10">
        <f t="shared" si="25"/>
        <v>34.852318074774168</v>
      </c>
      <c r="H59" s="10">
        <f t="shared" si="25"/>
        <v>30.412980335724068</v>
      </c>
      <c r="I59" s="10">
        <f t="shared" si="25"/>
        <v>24.76983251220917</v>
      </c>
      <c r="J59" s="10">
        <f t="shared" si="25"/>
        <v>19.213118431045615</v>
      </c>
      <c r="K59" s="10">
        <f t="shared" si="25"/>
        <v>14.370715193446729</v>
      </c>
      <c r="L59" s="10">
        <f t="shared" si="25"/>
        <v>10.450196302842295</v>
      </c>
      <c r="M59" s="10">
        <f t="shared" si="25"/>
        <v>7.4303740583341975</v>
      </c>
      <c r="N59" s="65">
        <f t="shared" si="25"/>
        <v>5.1871400837869581</v>
      </c>
      <c r="O59" s="135"/>
    </row>
    <row r="60" spans="1:16">
      <c r="B60" s="64"/>
      <c r="C60" s="10"/>
      <c r="D60" s="10"/>
      <c r="E60" s="10">
        <f t="shared" ref="E60:N60" si="26">E45*E28</f>
        <v>7.4479244747633588</v>
      </c>
      <c r="F60" s="10">
        <f t="shared" si="26"/>
        <v>17.33130673312926</v>
      </c>
      <c r="G60" s="10">
        <f t="shared" si="26"/>
        <v>25.206199567376395</v>
      </c>
      <c r="H60" s="10">
        <f t="shared" si="26"/>
        <v>29.32739031920369</v>
      </c>
      <c r="I60" s="10">
        <f t="shared" si="26"/>
        <v>29.857093016199997</v>
      </c>
      <c r="J60" s="10">
        <f t="shared" si="26"/>
        <v>27.79096050056414</v>
      </c>
      <c r="K60" s="10">
        <f t="shared" si="26"/>
        <v>24.251067989256505</v>
      </c>
      <c r="L60" s="10">
        <f t="shared" si="26"/>
        <v>20.154353996392626</v>
      </c>
      <c r="M60" s="10">
        <f t="shared" si="26"/>
        <v>16.121581150453377</v>
      </c>
      <c r="N60" s="65">
        <f t="shared" si="26"/>
        <v>12.504963357612455</v>
      </c>
      <c r="O60" s="135"/>
    </row>
    <row r="61" spans="1:16">
      <c r="B61" s="64"/>
      <c r="C61" s="10"/>
      <c r="D61" s="10"/>
      <c r="E61" s="10"/>
      <c r="F61" s="10">
        <f t="shared" ref="F61:N61" si="27">F46*F29</f>
        <v>3.1336249667914022</v>
      </c>
      <c r="G61" s="10">
        <f t="shared" si="27"/>
        <v>9.1149245118686828</v>
      </c>
      <c r="H61" s="10">
        <f t="shared" si="27"/>
        <v>15.907809595122192</v>
      </c>
      <c r="I61" s="10">
        <f t="shared" si="27"/>
        <v>21.593509030114451</v>
      </c>
      <c r="J61" s="10">
        <f t="shared" si="27"/>
        <v>25.124028158019204</v>
      </c>
      <c r="K61" s="10">
        <f t="shared" si="27"/>
        <v>26.308605563096698</v>
      </c>
      <c r="L61" s="10">
        <f t="shared" si="27"/>
        <v>25.508365578889844</v>
      </c>
      <c r="M61" s="10">
        <f t="shared" si="27"/>
        <v>23.319183013775159</v>
      </c>
      <c r="N61" s="65">
        <f t="shared" si="27"/>
        <v>20.348886203825053</v>
      </c>
      <c r="O61" s="135"/>
    </row>
    <row r="62" spans="1:16">
      <c r="B62" s="64"/>
      <c r="C62" s="10"/>
      <c r="D62" s="10"/>
      <c r="E62" s="10"/>
      <c r="F62" s="10"/>
      <c r="G62" s="10">
        <f t="shared" ref="G62:N62" si="28">G47*G30</f>
        <v>1.3184351513997346</v>
      </c>
      <c r="H62" s="10">
        <f t="shared" si="28"/>
        <v>4.6019943060797193</v>
      </c>
      <c r="I62" s="10">
        <f t="shared" si="28"/>
        <v>9.3702283470257139</v>
      </c>
      <c r="J62" s="10">
        <f t="shared" si="28"/>
        <v>14.536336236315485</v>
      </c>
      <c r="K62" s="10">
        <f t="shared" si="28"/>
        <v>19.027140769806628</v>
      </c>
      <c r="L62" s="10">
        <f t="shared" si="28"/>
        <v>22.138061016416621</v>
      </c>
      <c r="M62" s="10">
        <f t="shared" si="28"/>
        <v>23.611146074853419</v>
      </c>
      <c r="N62" s="65">
        <f t="shared" si="28"/>
        <v>23.547040310007624</v>
      </c>
      <c r="O62" s="135"/>
    </row>
    <row r="63" spans="1:16">
      <c r="B63" s="64"/>
      <c r="C63" s="10"/>
      <c r="D63" s="10"/>
      <c r="E63" s="10"/>
      <c r="F63" s="10"/>
      <c r="G63" s="10"/>
      <c r="H63" s="10">
        <f t="shared" ref="H63:N63" si="29">H48*H31</f>
        <v>0.55471578981779057</v>
      </c>
      <c r="I63" s="10">
        <f t="shared" si="29"/>
        <v>2.258939612952827</v>
      </c>
      <c r="J63" s="10">
        <f t="shared" si="29"/>
        <v>5.2565483788617042</v>
      </c>
      <c r="K63" s="10">
        <f t="shared" si="29"/>
        <v>9.173983901852079</v>
      </c>
      <c r="L63" s="10">
        <f t="shared" si="29"/>
        <v>13.342402429238524</v>
      </c>
      <c r="M63" s="10">
        <f t="shared" si="29"/>
        <v>17.076260428370009</v>
      </c>
      <c r="N63" s="65">
        <f t="shared" si="29"/>
        <v>19.868213509796714</v>
      </c>
      <c r="O63" s="135"/>
    </row>
    <row r="64" spans="1:16">
      <c r="B64" s="64"/>
      <c r="C64" s="10"/>
      <c r="D64" s="10"/>
      <c r="E64" s="10"/>
      <c r="F64" s="10"/>
      <c r="G64" s="10"/>
      <c r="H64" s="10"/>
      <c r="I64" s="10">
        <f t="shared" ref="I64:N64" si="30">I49*I32</f>
        <v>0.233390020848952</v>
      </c>
      <c r="J64" s="10">
        <f t="shared" si="30"/>
        <v>1.0861963097210758</v>
      </c>
      <c r="K64" s="10">
        <f t="shared" si="30"/>
        <v>2.8435239461612642</v>
      </c>
      <c r="L64" s="10">
        <f t="shared" si="30"/>
        <v>5.5140625509055914</v>
      </c>
      <c r="M64" s="10">
        <f t="shared" si="30"/>
        <v>8.8214593133584494</v>
      </c>
      <c r="N64" s="65">
        <f t="shared" si="30"/>
        <v>12.316511885560669</v>
      </c>
      <c r="O64" s="135"/>
    </row>
    <row r="65" spans="1:16">
      <c r="B65" s="64"/>
      <c r="C65" s="10"/>
      <c r="D65" s="10"/>
      <c r="E65" s="10"/>
      <c r="F65" s="10"/>
      <c r="G65" s="10"/>
      <c r="H65" s="10"/>
      <c r="I65" s="10"/>
      <c r="J65" s="10">
        <f>J50*J33</f>
        <v>9.8196054324984156E-2</v>
      </c>
      <c r="K65" s="10">
        <f>K50*K33</f>
        <v>0.51412959037459161</v>
      </c>
      <c r="L65" s="10">
        <f>L50*L33</f>
        <v>1.4954732794271619</v>
      </c>
      <c r="M65" s="10">
        <f>M50*M33</f>
        <v>3.1899666393918213</v>
      </c>
      <c r="N65" s="65">
        <f>N50*N33</f>
        <v>5.567284934522557</v>
      </c>
      <c r="O65" s="135"/>
    </row>
    <row r="66" spans="1:16">
      <c r="B66" s="64"/>
      <c r="C66" s="10"/>
      <c r="D66" s="10"/>
      <c r="E66" s="10"/>
      <c r="F66" s="10"/>
      <c r="G66" s="10"/>
      <c r="H66" s="10"/>
      <c r="I66" s="10"/>
      <c r="J66" s="10"/>
      <c r="K66" s="10">
        <f>K51*K34</f>
        <v>4.1314813075216096E-2</v>
      </c>
      <c r="L66" s="10">
        <f>L51*L34</f>
        <v>0.24034873757605477</v>
      </c>
      <c r="M66" s="10">
        <f>M51*M34</f>
        <v>0.7690252295727128</v>
      </c>
      <c r="N66" s="65">
        <f>N51*N34</f>
        <v>1.789520313263288</v>
      </c>
      <c r="O66" s="135"/>
    </row>
    <row r="67" spans="1:16">
      <c r="B67" s="64"/>
      <c r="C67" s="10"/>
      <c r="D67" s="10"/>
      <c r="E67" s="10"/>
      <c r="F67" s="10"/>
      <c r="G67" s="10"/>
      <c r="H67" s="10"/>
      <c r="I67" s="10"/>
      <c r="J67" s="10"/>
      <c r="K67" s="10"/>
      <c r="L67" s="10">
        <f>L52*L35</f>
        <v>1.7382712484464404E-2</v>
      </c>
      <c r="M67" s="10">
        <f>M52*M35</f>
        <v>0.1112362360940771</v>
      </c>
      <c r="N67" s="65">
        <f>N52*N35</f>
        <v>0.38826977920848638</v>
      </c>
      <c r="O67" s="135"/>
    </row>
    <row r="68" spans="1:16">
      <c r="B68" s="6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>
        <f>M53*M36</f>
        <v>7.3135679633224201E-3</v>
      </c>
      <c r="N68" s="65">
        <f>N53*N36</f>
        <v>5.1055978124679741E-2</v>
      </c>
      <c r="O68" s="135"/>
    </row>
    <row r="69" spans="1:16" ht="15.75" thickBot="1"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>
        <f>N54*N37</f>
        <v>3.0770960747317521E-3</v>
      </c>
      <c r="O69" s="135"/>
    </row>
    <row r="71" spans="1:16" ht="15.75">
      <c r="A71" t="s">
        <v>76</v>
      </c>
      <c r="B71" s="3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9"/>
      <c r="O71" s="34"/>
    </row>
    <row r="72" spans="1:16" ht="15.75">
      <c r="A72" s="163" t="s">
        <v>133</v>
      </c>
      <c r="B72" s="34" t="s">
        <v>143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9"/>
      <c r="O72" s="34"/>
    </row>
    <row r="73" spans="1:16" ht="15.75">
      <c r="A73" s="165" t="s">
        <v>141</v>
      </c>
      <c r="B73" s="34">
        <v>0</v>
      </c>
      <c r="C73" s="34">
        <v>1</v>
      </c>
      <c r="D73" s="34">
        <v>2</v>
      </c>
      <c r="E73" s="34">
        <v>3</v>
      </c>
      <c r="F73" s="34">
        <v>4</v>
      </c>
      <c r="G73" s="34">
        <v>5</v>
      </c>
      <c r="H73" s="34">
        <v>6</v>
      </c>
      <c r="I73" s="34">
        <v>7</v>
      </c>
      <c r="J73" s="34">
        <v>8</v>
      </c>
      <c r="K73" s="34">
        <v>9</v>
      </c>
      <c r="L73" s="34">
        <v>10</v>
      </c>
      <c r="M73" s="34">
        <v>11</v>
      </c>
      <c r="N73" s="34">
        <v>12</v>
      </c>
      <c r="O73" s="34"/>
    </row>
    <row r="74" spans="1:16" ht="15.75">
      <c r="A74" s="41" t="s">
        <v>53</v>
      </c>
      <c r="B74" s="32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6" ht="15.75">
      <c r="A75" s="41">
        <v>0</v>
      </c>
      <c r="B75" s="43">
        <f>B11</f>
        <v>88.235294117647058</v>
      </c>
      <c r="C75" s="43">
        <f t="shared" ref="C75:N75" si="31">(1+$D$7)*B$75</f>
        <v>88.381021879581198</v>
      </c>
      <c r="D75" s="43">
        <f t="shared" si="31"/>
        <v>88.526990322762117</v>
      </c>
      <c r="E75" s="43">
        <f t="shared" si="31"/>
        <v>88.673199844694466</v>
      </c>
      <c r="F75" s="43">
        <f t="shared" si="31"/>
        <v>88.819650843539392</v>
      </c>
      <c r="G75" s="43">
        <f t="shared" si="31"/>
        <v>88.966343718115667</v>
      </c>
      <c r="H75" s="43">
        <f t="shared" si="31"/>
        <v>89.113278867900718</v>
      </c>
      <c r="I75" s="43">
        <f t="shared" si="31"/>
        <v>89.260456693031742</v>
      </c>
      <c r="J75" s="43">
        <f t="shared" si="31"/>
        <v>89.407877594306811</v>
      </c>
      <c r="K75" s="43">
        <f t="shared" si="31"/>
        <v>89.555541973185939</v>
      </c>
      <c r="L75" s="43">
        <f t="shared" si="31"/>
        <v>89.703450231792189</v>
      </c>
      <c r="M75" s="43">
        <f t="shared" si="31"/>
        <v>89.851602772912742</v>
      </c>
      <c r="N75" s="43">
        <f t="shared" si="31"/>
        <v>90.000000000000043</v>
      </c>
      <c r="O75" s="43"/>
      <c r="P75" s="44"/>
    </row>
    <row r="76" spans="1:16" ht="15.75">
      <c r="A76" s="41">
        <f t="shared" ref="A76:A87" si="32">1+A75</f>
        <v>1</v>
      </c>
      <c r="B76" s="43"/>
      <c r="C76" s="43">
        <f t="shared" ref="C76:N76" si="33">(1+$D$7)*B$75</f>
        <v>88.381021879581198</v>
      </c>
      <c r="D76" s="43">
        <f t="shared" si="33"/>
        <v>88.526990322762117</v>
      </c>
      <c r="E76" s="43">
        <f t="shared" si="33"/>
        <v>88.673199844694466</v>
      </c>
      <c r="F76" s="43">
        <f t="shared" si="33"/>
        <v>88.819650843539392</v>
      </c>
      <c r="G76" s="43">
        <f t="shared" si="33"/>
        <v>88.966343718115667</v>
      </c>
      <c r="H76" s="43">
        <f t="shared" si="33"/>
        <v>89.113278867900718</v>
      </c>
      <c r="I76" s="43">
        <f t="shared" si="33"/>
        <v>89.260456693031742</v>
      </c>
      <c r="J76" s="43">
        <f t="shared" si="33"/>
        <v>89.407877594306811</v>
      </c>
      <c r="K76" s="43">
        <f t="shared" si="33"/>
        <v>89.555541973185939</v>
      </c>
      <c r="L76" s="43">
        <f t="shared" si="33"/>
        <v>89.703450231792189</v>
      </c>
      <c r="M76" s="43">
        <f t="shared" si="33"/>
        <v>89.851602772912742</v>
      </c>
      <c r="N76" s="43">
        <f t="shared" si="33"/>
        <v>90.000000000000043</v>
      </c>
      <c r="O76" s="43"/>
      <c r="P76" s="44"/>
    </row>
    <row r="77" spans="1:16" ht="15.75">
      <c r="A77" s="41">
        <f t="shared" si="32"/>
        <v>2</v>
      </c>
      <c r="B77" s="43"/>
      <c r="C77" s="43"/>
      <c r="D77" s="43">
        <f t="shared" ref="D77:N77" si="34">(1+$D$7)*C$75</f>
        <v>88.526990322762117</v>
      </c>
      <c r="E77" s="43">
        <f t="shared" si="34"/>
        <v>88.673199844694466</v>
      </c>
      <c r="F77" s="43">
        <f t="shared" si="34"/>
        <v>88.819650843539392</v>
      </c>
      <c r="G77" s="43">
        <f t="shared" si="34"/>
        <v>88.966343718115667</v>
      </c>
      <c r="H77" s="43">
        <f t="shared" si="34"/>
        <v>89.113278867900718</v>
      </c>
      <c r="I77" s="43">
        <f t="shared" si="34"/>
        <v>89.260456693031742</v>
      </c>
      <c r="J77" s="43">
        <f t="shared" si="34"/>
        <v>89.407877594306811</v>
      </c>
      <c r="K77" s="43">
        <f t="shared" si="34"/>
        <v>89.555541973185939</v>
      </c>
      <c r="L77" s="43">
        <f t="shared" si="34"/>
        <v>89.703450231792189</v>
      </c>
      <c r="M77" s="43">
        <f t="shared" si="34"/>
        <v>89.851602772912742</v>
      </c>
      <c r="N77" s="43">
        <f t="shared" si="34"/>
        <v>90.000000000000043</v>
      </c>
      <c r="O77" s="43"/>
      <c r="P77" s="44"/>
    </row>
    <row r="78" spans="1:16" ht="15.75">
      <c r="A78" s="41">
        <f t="shared" si="32"/>
        <v>3</v>
      </c>
      <c r="B78" s="43"/>
      <c r="C78" s="43"/>
      <c r="D78" s="43"/>
      <c r="E78" s="43">
        <f t="shared" ref="E78:N78" si="35">(1+$D$7)*D$75</f>
        <v>88.673199844694466</v>
      </c>
      <c r="F78" s="43">
        <f t="shared" si="35"/>
        <v>88.819650843539392</v>
      </c>
      <c r="G78" s="43">
        <f t="shared" si="35"/>
        <v>88.966343718115667</v>
      </c>
      <c r="H78" s="43">
        <f t="shared" si="35"/>
        <v>89.113278867900718</v>
      </c>
      <c r="I78" s="43">
        <f t="shared" si="35"/>
        <v>89.260456693031742</v>
      </c>
      <c r="J78" s="43">
        <f t="shared" si="35"/>
        <v>89.407877594306811</v>
      </c>
      <c r="K78" s="43">
        <f t="shared" si="35"/>
        <v>89.555541973185939</v>
      </c>
      <c r="L78" s="43">
        <f t="shared" si="35"/>
        <v>89.703450231792189</v>
      </c>
      <c r="M78" s="43">
        <f t="shared" si="35"/>
        <v>89.851602772912742</v>
      </c>
      <c r="N78" s="43">
        <f t="shared" si="35"/>
        <v>90.000000000000043</v>
      </c>
      <c r="O78" s="43"/>
      <c r="P78" s="44"/>
    </row>
    <row r="79" spans="1:16" ht="15.75">
      <c r="A79" s="41">
        <f t="shared" si="32"/>
        <v>4</v>
      </c>
      <c r="B79" s="43"/>
      <c r="C79" s="43"/>
      <c r="D79" s="43"/>
      <c r="E79" s="43"/>
      <c r="F79" s="43">
        <f t="shared" ref="F79:N79" si="36">(1+$D$7)*E$75</f>
        <v>88.819650843539392</v>
      </c>
      <c r="G79" s="43">
        <f t="shared" si="36"/>
        <v>88.966343718115667</v>
      </c>
      <c r="H79" s="43">
        <f t="shared" si="36"/>
        <v>89.113278867900718</v>
      </c>
      <c r="I79" s="43">
        <f t="shared" si="36"/>
        <v>89.260456693031742</v>
      </c>
      <c r="J79" s="43">
        <f t="shared" si="36"/>
        <v>89.407877594306811</v>
      </c>
      <c r="K79" s="43">
        <f t="shared" si="36"/>
        <v>89.555541973185939</v>
      </c>
      <c r="L79" s="43">
        <f t="shared" si="36"/>
        <v>89.703450231792189</v>
      </c>
      <c r="M79" s="43">
        <f t="shared" si="36"/>
        <v>89.851602772912742</v>
      </c>
      <c r="N79" s="43">
        <f t="shared" si="36"/>
        <v>90.000000000000043</v>
      </c>
      <c r="O79" s="43"/>
      <c r="P79" s="44"/>
    </row>
    <row r="80" spans="1:16" ht="15.75">
      <c r="A80" s="41">
        <f t="shared" si="32"/>
        <v>5</v>
      </c>
      <c r="B80" s="43"/>
      <c r="C80" s="43"/>
      <c r="D80" s="43"/>
      <c r="E80" s="43"/>
      <c r="F80" s="43"/>
      <c r="G80" s="43">
        <f t="shared" ref="G80:N80" si="37">(1+$D$7)*F$75</f>
        <v>88.966343718115667</v>
      </c>
      <c r="H80" s="43">
        <f t="shared" si="37"/>
        <v>89.113278867900718</v>
      </c>
      <c r="I80" s="43">
        <f t="shared" si="37"/>
        <v>89.260456693031742</v>
      </c>
      <c r="J80" s="43">
        <f t="shared" si="37"/>
        <v>89.407877594306811</v>
      </c>
      <c r="K80" s="43">
        <f t="shared" si="37"/>
        <v>89.555541973185939</v>
      </c>
      <c r="L80" s="43">
        <f t="shared" si="37"/>
        <v>89.703450231792189</v>
      </c>
      <c r="M80" s="43">
        <f t="shared" si="37"/>
        <v>89.851602772912742</v>
      </c>
      <c r="N80" s="43">
        <f t="shared" si="37"/>
        <v>90.000000000000043</v>
      </c>
      <c r="O80" s="43"/>
      <c r="P80" s="44"/>
    </row>
    <row r="81" spans="1:16" ht="15.75">
      <c r="A81" s="41">
        <f t="shared" si="32"/>
        <v>6</v>
      </c>
      <c r="B81" s="43"/>
      <c r="C81" s="43"/>
      <c r="D81" s="43"/>
      <c r="E81" s="43"/>
      <c r="F81" s="43"/>
      <c r="G81" s="43"/>
      <c r="H81" s="43">
        <f t="shared" ref="H81:N81" si="38">(1+$D$7)*G$75</f>
        <v>89.113278867900718</v>
      </c>
      <c r="I81" s="43">
        <f t="shared" si="38"/>
        <v>89.260456693031742</v>
      </c>
      <c r="J81" s="43">
        <f t="shared" si="38"/>
        <v>89.407877594306811</v>
      </c>
      <c r="K81" s="43">
        <f t="shared" si="38"/>
        <v>89.555541973185939</v>
      </c>
      <c r="L81" s="43">
        <f t="shared" si="38"/>
        <v>89.703450231792189</v>
      </c>
      <c r="M81" s="43">
        <f t="shared" si="38"/>
        <v>89.851602772912742</v>
      </c>
      <c r="N81" s="43">
        <f t="shared" si="38"/>
        <v>90.000000000000043</v>
      </c>
      <c r="O81" s="43"/>
      <c r="P81" s="44"/>
    </row>
    <row r="82" spans="1:16" ht="15.75">
      <c r="A82" s="41">
        <f t="shared" si="32"/>
        <v>7</v>
      </c>
      <c r="B82" s="43"/>
      <c r="C82" s="43"/>
      <c r="D82" s="43"/>
      <c r="E82" s="43"/>
      <c r="F82" s="43"/>
      <c r="G82" s="43"/>
      <c r="H82" s="43"/>
      <c r="I82" s="43">
        <f t="shared" ref="I82:N82" si="39">(1+$D$7)*H$75</f>
        <v>89.260456693031742</v>
      </c>
      <c r="J82" s="43">
        <f t="shared" si="39"/>
        <v>89.407877594306811</v>
      </c>
      <c r="K82" s="43">
        <f t="shared" si="39"/>
        <v>89.555541973185939</v>
      </c>
      <c r="L82" s="43">
        <f t="shared" si="39"/>
        <v>89.703450231792189</v>
      </c>
      <c r="M82" s="43">
        <f t="shared" si="39"/>
        <v>89.851602772912742</v>
      </c>
      <c r="N82" s="43">
        <f t="shared" si="39"/>
        <v>90.000000000000043</v>
      </c>
      <c r="O82" s="43"/>
      <c r="P82" s="44"/>
    </row>
    <row r="83" spans="1:16" ht="15.75">
      <c r="A83" s="41">
        <f t="shared" si="32"/>
        <v>8</v>
      </c>
      <c r="B83" s="43"/>
      <c r="C83" s="43"/>
      <c r="D83" s="43"/>
      <c r="E83" s="43"/>
      <c r="F83" s="43"/>
      <c r="G83" s="43"/>
      <c r="H83" s="43"/>
      <c r="I83" s="43"/>
      <c r="J83" s="43">
        <f>(1+$D$7)*I$75</f>
        <v>89.407877594306811</v>
      </c>
      <c r="K83" s="43">
        <f>(1+$D$7)*J$75</f>
        <v>89.555541973185939</v>
      </c>
      <c r="L83" s="43">
        <f>(1+$D$7)*K$75</f>
        <v>89.703450231792189</v>
      </c>
      <c r="M83" s="43">
        <f>(1+$D$7)*L$75</f>
        <v>89.851602772912742</v>
      </c>
      <c r="N83" s="43">
        <f>(1+$D$7)*M$75</f>
        <v>90.000000000000043</v>
      </c>
      <c r="O83" s="43"/>
      <c r="P83" s="44"/>
    </row>
    <row r="84" spans="1:16" ht="15.75">
      <c r="A84" s="41">
        <f t="shared" si="32"/>
        <v>9</v>
      </c>
      <c r="B84" s="43"/>
      <c r="C84" s="43"/>
      <c r="D84" s="43"/>
      <c r="E84" s="43"/>
      <c r="F84" s="43"/>
      <c r="G84" s="43"/>
      <c r="H84" s="43"/>
      <c r="I84" s="43"/>
      <c r="J84" s="43"/>
      <c r="K84" s="43">
        <f>(1+$D$7)*J$75</f>
        <v>89.555541973185939</v>
      </c>
      <c r="L84" s="43">
        <f>(1+$D$7)*K$75</f>
        <v>89.703450231792189</v>
      </c>
      <c r="M84" s="43">
        <f>(1+$D$7)*L$75</f>
        <v>89.851602772912742</v>
      </c>
      <c r="N84" s="43">
        <f>(1+$D$7)*M$75</f>
        <v>90.000000000000043</v>
      </c>
      <c r="O84" s="43"/>
      <c r="P84" s="44"/>
    </row>
    <row r="85" spans="1:16" ht="15.75">
      <c r="A85" s="41">
        <f t="shared" si="32"/>
        <v>10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>
        <f>(1+$D$7)*K$75</f>
        <v>89.703450231792189</v>
      </c>
      <c r="M85" s="43">
        <f>(1+$D$7)*L$75</f>
        <v>89.851602772912742</v>
      </c>
      <c r="N85" s="43">
        <f>(1+$D$7)*M$75</f>
        <v>90.000000000000043</v>
      </c>
      <c r="O85" s="43"/>
      <c r="P85" s="44"/>
    </row>
    <row r="86" spans="1:16" ht="15.75">
      <c r="A86" s="41">
        <f t="shared" si="32"/>
        <v>11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>
        <f>(1+$D$7)*L$75</f>
        <v>89.851602772912742</v>
      </c>
      <c r="N86" s="43">
        <f>(1+$D$7)*M$75</f>
        <v>90.000000000000043</v>
      </c>
      <c r="O86" s="43"/>
      <c r="P86" s="44"/>
    </row>
    <row r="87" spans="1:16" ht="15.75">
      <c r="A87" s="41">
        <f t="shared" si="32"/>
        <v>12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>
        <f>(1+$D$7)*M$75</f>
        <v>90.000000000000043</v>
      </c>
      <c r="O87" s="43"/>
      <c r="P87" s="44"/>
    </row>
    <row r="88" spans="1:16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44"/>
    </row>
    <row r="89" spans="1:16" ht="15.75">
      <c r="A89" t="s">
        <v>74</v>
      </c>
      <c r="B89" s="3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9"/>
      <c r="O89" s="34"/>
    </row>
    <row r="90" spans="1:16" ht="15.75">
      <c r="A90" s="163" t="s">
        <v>133</v>
      </c>
      <c r="B90" s="34" t="s">
        <v>75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9"/>
      <c r="O90" s="34"/>
    </row>
    <row r="91" spans="1:16" ht="15.75">
      <c r="A91" s="165" t="s">
        <v>141</v>
      </c>
      <c r="B91" s="34">
        <v>0</v>
      </c>
      <c r="C91" s="34">
        <v>1</v>
      </c>
      <c r="D91" s="34">
        <v>2</v>
      </c>
      <c r="E91" s="34">
        <v>3</v>
      </c>
      <c r="F91" s="34">
        <v>4</v>
      </c>
      <c r="G91" s="34">
        <v>5</v>
      </c>
      <c r="H91" s="34">
        <v>6</v>
      </c>
      <c r="I91" s="34">
        <v>7</v>
      </c>
      <c r="J91" s="34">
        <v>8</v>
      </c>
      <c r="K91" s="34">
        <v>9</v>
      </c>
      <c r="L91" s="34">
        <v>10</v>
      </c>
      <c r="M91" s="34">
        <v>11</v>
      </c>
      <c r="N91" s="34">
        <v>12</v>
      </c>
      <c r="O91" s="34"/>
    </row>
    <row r="92" spans="1:16" ht="15.75">
      <c r="A92" s="41" t="s">
        <v>53</v>
      </c>
      <c r="B92" s="3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16" ht="15.75">
      <c r="A93" s="41">
        <v>0</v>
      </c>
      <c r="B93" s="43">
        <f t="shared" ref="B93:M93" si="40">(1/(1+$D$4))*(($D$11*C93+(1-$D$11)*C94)-((C93-C94)/((1+$D$9)-1/(1+$D$9)))*($D$5-$D$4))</f>
        <v>11.094493935472084</v>
      </c>
      <c r="C93" s="43">
        <f t="shared" si="40"/>
        <v>14.673613343161227</v>
      </c>
      <c r="D93" s="43">
        <f t="shared" si="40"/>
        <v>19.006882052313212</v>
      </c>
      <c r="E93" s="43">
        <f t="shared" si="40"/>
        <v>24.09535435677936</v>
      </c>
      <c r="F93" s="43">
        <f t="shared" si="40"/>
        <v>29.89074690995076</v>
      </c>
      <c r="G93" s="43">
        <f t="shared" si="40"/>
        <v>36.306335392267968</v>
      </c>
      <c r="H93" s="43">
        <f t="shared" si="40"/>
        <v>43.245488543265154</v>
      </c>
      <c r="I93" s="43">
        <f t="shared" si="40"/>
        <v>50.639501263142982</v>
      </c>
      <c r="J93" s="43">
        <f t="shared" si="40"/>
        <v>58.472650589628891</v>
      </c>
      <c r="K93" s="43">
        <f t="shared" si="40"/>
        <v>66.770320694234442</v>
      </c>
      <c r="L93" s="43">
        <f t="shared" si="40"/>
        <v>75.559361380816043</v>
      </c>
      <c r="M93" s="43">
        <f t="shared" si="40"/>
        <v>84.868172704089091</v>
      </c>
      <c r="N93" s="43">
        <f t="shared" ref="N93:N105" si="41">MAX(N25-N75,0)</f>
        <v>94.726794473594751</v>
      </c>
      <c r="O93" s="43"/>
      <c r="P93" s="44"/>
    </row>
    <row r="94" spans="1:16" ht="15.75">
      <c r="A94" s="41">
        <f t="shared" ref="A94:A105" si="42">1+A93</f>
        <v>1</v>
      </c>
      <c r="B94" s="43"/>
      <c r="C94" s="43">
        <f t="shared" ref="C94:M94" si="43">(1/(1+$D$4))*(($D$11*D94+(1-$D$11)*D95)-((D94-D95)/((1+$D$9)-1/(1+$D$9)))*($D$5-$D$4))</f>
        <v>7.4519889036311229</v>
      </c>
      <c r="D94" s="43">
        <f t="shared" si="43"/>
        <v>10.269914118683941</v>
      </c>
      <c r="E94" s="43">
        <f t="shared" si="43"/>
        <v>13.844732902515061</v>
      </c>
      <c r="F94" s="43">
        <f t="shared" si="43"/>
        <v>18.228493786851292</v>
      </c>
      <c r="G94" s="43">
        <f t="shared" si="43"/>
        <v>23.412395488251828</v>
      </c>
      <c r="H94" s="43">
        <f t="shared" si="43"/>
        <v>29.319511316836586</v>
      </c>
      <c r="I94" s="43">
        <f t="shared" si="43"/>
        <v>35.82385797410128</v>
      </c>
      <c r="J94" s="43">
        <f t="shared" si="43"/>
        <v>42.801625736472616</v>
      </c>
      <c r="K94" s="43">
        <f t="shared" si="43"/>
        <v>50.194528799333476</v>
      </c>
      <c r="L94" s="43">
        <f t="shared" si="43"/>
        <v>58.026565694659858</v>
      </c>
      <c r="M94" s="43">
        <f t="shared" si="43"/>
        <v>66.323120587027987</v>
      </c>
      <c r="N94" s="43">
        <f t="shared" si="41"/>
        <v>75.111043273341565</v>
      </c>
      <c r="O94" s="43"/>
      <c r="P94" s="44"/>
    </row>
    <row r="95" spans="1:16" ht="15.75">
      <c r="A95" s="41">
        <f t="shared" si="42"/>
        <v>2</v>
      </c>
      <c r="B95" s="43"/>
      <c r="C95" s="43"/>
      <c r="D95" s="43">
        <f t="shared" ref="D95:M95" si="44">(1/(1+$D$4))*(($D$11*E95+(1-$D$11)*E96)-((E95-E96)/((1+$D$9)-1/(1+$D$9)))*($D$5-$D$4))</f>
        <v>4.5776365032009565</v>
      </c>
      <c r="E95" s="43">
        <f t="shared" si="44"/>
        <v>6.6276617525564143</v>
      </c>
      <c r="F95" s="43">
        <f t="shared" si="44"/>
        <v>9.3846378701576736</v>
      </c>
      <c r="G95" s="43">
        <f t="shared" si="44"/>
        <v>12.963764328971715</v>
      </c>
      <c r="H95" s="43">
        <f t="shared" si="44"/>
        <v>17.42660053798426</v>
      </c>
      <c r="I95" s="43">
        <f t="shared" si="44"/>
        <v>22.746527178139793</v>
      </c>
      <c r="J95" s="43">
        <f t="shared" si="44"/>
        <v>28.794674173000587</v>
      </c>
      <c r="K95" s="43">
        <f t="shared" si="44"/>
        <v>35.378885510291767</v>
      </c>
      <c r="L95" s="43">
        <f t="shared" si="44"/>
        <v>42.355540841503583</v>
      </c>
      <c r="M95" s="43">
        <f t="shared" si="44"/>
        <v>49.747328692127027</v>
      </c>
      <c r="N95" s="43">
        <f t="shared" si="41"/>
        <v>57.578247587185373</v>
      </c>
      <c r="O95" s="43"/>
      <c r="P95" s="44"/>
    </row>
    <row r="96" spans="1:16" ht="15.75">
      <c r="A96" s="41">
        <f t="shared" si="42"/>
        <v>3</v>
      </c>
      <c r="B96" s="43"/>
      <c r="C96" s="43"/>
      <c r="D96" s="43"/>
      <c r="E96" s="43">
        <f t="shared" ref="E96:M96" si="45">(1/(1+$D$4))*(($D$11*F96+(1-$D$11)*F97)-((F96-F97)/((1+$D$9)-1/(1+$D$9)))*($D$5-$D$4))</f>
        <v>2.4822719715191051</v>
      </c>
      <c r="F96" s="43">
        <f t="shared" si="45"/>
        <v>3.8121076934257778</v>
      </c>
      <c r="G96" s="43">
        <f t="shared" si="45"/>
        <v>5.733433206736783</v>
      </c>
      <c r="H96" s="43">
        <f t="shared" si="45"/>
        <v>8.4174689162677954</v>
      </c>
      <c r="I96" s="43">
        <f t="shared" si="45"/>
        <v>12.017217082430411</v>
      </c>
      <c r="J96" s="43">
        <f t="shared" si="45"/>
        <v>16.611595959626719</v>
      </c>
      <c r="K96" s="43">
        <f t="shared" si="45"/>
        <v>22.136484335138906</v>
      </c>
      <c r="L96" s="43">
        <f t="shared" si="45"/>
        <v>28.348589278031554</v>
      </c>
      <c r="M96" s="43">
        <f t="shared" si="45"/>
        <v>34.931685403085318</v>
      </c>
      <c r="N96" s="43">
        <f t="shared" si="41"/>
        <v>41.907222734029133</v>
      </c>
      <c r="O96" s="43"/>
      <c r="P96" s="44"/>
    </row>
    <row r="97" spans="1:16" ht="15.75">
      <c r="A97" s="41">
        <f t="shared" si="42"/>
        <v>4</v>
      </c>
      <c r="B97" s="43"/>
      <c r="C97" s="43"/>
      <c r="D97" s="43"/>
      <c r="E97" s="43"/>
      <c r="F97" s="43">
        <f t="shared" ref="F97:M97" si="46">(1/(1+$D$4))*(($D$11*G97+(1-$D$11)*G98)-((G97-G98)/((1+$D$9)-1/(1+$D$9)))*($D$5-$D$4))</f>
        <v>1.1205482094708303</v>
      </c>
      <c r="G97" s="43">
        <f t="shared" si="46"/>
        <v>1.8458585390543654</v>
      </c>
      <c r="H97" s="43">
        <f t="shared" si="46"/>
        <v>2.988714770421641</v>
      </c>
      <c r="I97" s="43">
        <f t="shared" si="46"/>
        <v>4.7400356077942849</v>
      </c>
      <c r="J97" s="43">
        <f t="shared" si="46"/>
        <v>7.3301645825327872</v>
      </c>
      <c r="K97" s="43">
        <f t="shared" si="46"/>
        <v>10.986247871612743</v>
      </c>
      <c r="L97" s="43">
        <f t="shared" si="46"/>
        <v>15.82900654876696</v>
      </c>
      <c r="M97" s="43">
        <f t="shared" si="46"/>
        <v>21.689284227932447</v>
      </c>
      <c r="N97" s="43">
        <f t="shared" si="41"/>
        <v>27.900271170557076</v>
      </c>
      <c r="O97" s="43"/>
      <c r="P97" s="44"/>
    </row>
    <row r="98" spans="1:16" ht="15.75">
      <c r="A98" s="41">
        <f t="shared" si="42"/>
        <v>5</v>
      </c>
      <c r="B98" s="43"/>
      <c r="C98" s="43"/>
      <c r="D98" s="43"/>
      <c r="E98" s="43"/>
      <c r="F98" s="43"/>
      <c r="G98" s="43">
        <f t="shared" ref="G98:M98" si="47">(1/(1+$D$4))*(($D$11*H98+(1-$D$11)*H99)-((H98-H99)/((1+$D$9)-1/(1+$D$9)))*($D$5-$D$4))</f>
        <v>0.37665960934883669</v>
      </c>
      <c r="H98" s="43">
        <f t="shared" si="47"/>
        <v>0.67413680223532024</v>
      </c>
      <c r="I98" s="43">
        <f t="shared" si="47"/>
        <v>1.1939741695832846</v>
      </c>
      <c r="J98" s="43">
        <f t="shared" si="47"/>
        <v>2.0873166816434132</v>
      </c>
      <c r="K98" s="43">
        <f t="shared" si="47"/>
        <v>3.5889832241446147</v>
      </c>
      <c r="L98" s="43">
        <f t="shared" si="47"/>
        <v>6.0372616609711898</v>
      </c>
      <c r="M98" s="43">
        <f t="shared" si="47"/>
        <v>9.8530658834077141</v>
      </c>
      <c r="N98" s="43">
        <f t="shared" si="41"/>
        <v>15.380688441292492</v>
      </c>
      <c r="O98" s="43"/>
      <c r="P98" s="44"/>
    </row>
    <row r="99" spans="1:16" ht="15.75">
      <c r="A99" s="41">
        <f t="shared" si="42"/>
        <v>6</v>
      </c>
      <c r="B99" s="43"/>
      <c r="C99" s="43"/>
      <c r="D99" s="43"/>
      <c r="E99" s="43"/>
      <c r="F99" s="43"/>
      <c r="G99" s="43"/>
      <c r="H99" s="43">
        <f t="shared" ref="H99:M99" si="48">(1/(1+$D$4))*(($D$11*I99+(1-$D$11)*I100)-((I99-I100)/((1+$D$9)-1/(1+$D$9)))*($D$5-$D$4))</f>
        <v>7.1141229377328544E-2</v>
      </c>
      <c r="I99" s="43">
        <f t="shared" si="48"/>
        <v>0.1403285482911312</v>
      </c>
      <c r="J99" s="43">
        <f t="shared" si="48"/>
        <v>0.27680294026197794</v>
      </c>
      <c r="K99" s="43">
        <f t="shared" si="48"/>
        <v>0.54600342318597572</v>
      </c>
      <c r="L99" s="43">
        <f t="shared" si="48"/>
        <v>1.0770107349605846</v>
      </c>
      <c r="M99" s="43">
        <f t="shared" si="48"/>
        <v>2.1244411187972432</v>
      </c>
      <c r="N99" s="43">
        <f t="shared" si="41"/>
        <v>4.1905339665919428</v>
      </c>
      <c r="O99" s="43"/>
      <c r="P99" s="44"/>
    </row>
    <row r="100" spans="1:16" ht="15.75">
      <c r="A100" s="41">
        <f t="shared" si="42"/>
        <v>7</v>
      </c>
      <c r="B100" s="43"/>
      <c r="C100" s="43"/>
      <c r="D100" s="43"/>
      <c r="E100" s="43"/>
      <c r="F100" s="43"/>
      <c r="G100" s="43"/>
      <c r="H100" s="43"/>
      <c r="I100" s="43">
        <f>(1/(1+$D$4))*(($D$11*J100+(1-$D$11)*J101)-((J100-J101)/((1+$D$9)-1/(1+$D$9)))*($D$5-$D$4))</f>
        <v>0</v>
      </c>
      <c r="J100" s="43">
        <f>(1/(1+$D$4))*(($D$11*K100+(1-$D$11)*K101)-((K100-K101)/((1+$D$9)-1/(1+$D$9)))*($D$5-$D$4))</f>
        <v>0</v>
      </c>
      <c r="K100" s="43">
        <f>(1/(1+$D$4))*(($D$11*L100+(1-$D$11)*L101)-((L100-L101)/((1+$D$9)-1/(1+$D$9)))*($D$5-$D$4))</f>
        <v>0</v>
      </c>
      <c r="L100" s="43">
        <f>(1/(1+$D$4))*(($D$11*M100+(1-$D$11)*M101)-((M100-M101)/((1+$D$9)-1/(1+$D$9)))*($D$5-$D$4))</f>
        <v>0</v>
      </c>
      <c r="M100" s="43">
        <f>(1/(1+$D$4))*(($D$11*N100+(1-$D$11)*N101)-((N100-N101)/((1+$D$9)-1/(1+$D$9)))*($D$5-$D$4))</f>
        <v>0</v>
      </c>
      <c r="N100" s="43">
        <f t="shared" si="41"/>
        <v>0</v>
      </c>
      <c r="O100" s="43"/>
      <c r="P100" s="44"/>
    </row>
    <row r="101" spans="1:16" ht="15.75">
      <c r="A101" s="41">
        <f t="shared" si="42"/>
        <v>8</v>
      </c>
      <c r="B101" s="43"/>
      <c r="C101" s="43"/>
      <c r="D101" s="43"/>
      <c r="E101" s="43"/>
      <c r="F101" s="43"/>
      <c r="G101" s="43"/>
      <c r="H101" s="43"/>
      <c r="I101" s="43"/>
      <c r="J101" s="43">
        <f>(1/(1+$D$4))*(($D$11*K101+(1-$D$11)*K102)-((K101-K102)/((1+$D$9)-1/(1+$D$9)))*($D$5-$D$4))</f>
        <v>0</v>
      </c>
      <c r="K101" s="43">
        <f>(1/(1+$D$4))*(($D$11*L101+(1-$D$11)*L102)-((L101-L102)/((1+$D$9)-1/(1+$D$9)))*($D$5-$D$4))</f>
        <v>0</v>
      </c>
      <c r="L101" s="43">
        <f>(1/(1+$D$4))*(($D$11*M101+(1-$D$11)*M102)-((M101-M102)/((1+$D$9)-1/(1+$D$9)))*($D$5-$D$4))</f>
        <v>0</v>
      </c>
      <c r="M101" s="43">
        <f>(1/(1+$D$4))*(($D$11*N101+(1-$D$11)*N102)-((N101-N102)/((1+$D$9)-1/(1+$D$9)))*($D$5-$D$4))</f>
        <v>0</v>
      </c>
      <c r="N101" s="43">
        <f t="shared" si="41"/>
        <v>0</v>
      </c>
      <c r="O101" s="43"/>
      <c r="P101" s="44"/>
    </row>
    <row r="102" spans="1:16" ht="15.75">
      <c r="A102" s="41">
        <f t="shared" si="42"/>
        <v>9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>
        <f>(1/(1+$D$4))*(($D$11*L102+(1-$D$11)*L103)-((L102-L103)/((1+$D$9)-1/(1+$D$9)))*($D$5-$D$4))</f>
        <v>0</v>
      </c>
      <c r="L102" s="43">
        <f>(1/(1+$D$4))*(($D$11*M102+(1-$D$11)*M103)-((M102-M103)/((1+$D$9)-1/(1+$D$9)))*($D$5-$D$4))</f>
        <v>0</v>
      </c>
      <c r="M102" s="43">
        <f>(1/(1+$D$4))*(($D$11*N102+(1-$D$11)*N103)-((N102-N103)/((1+$D$9)-1/(1+$D$9)))*($D$5-$D$4))</f>
        <v>0</v>
      </c>
      <c r="N102" s="43">
        <f t="shared" si="41"/>
        <v>0</v>
      </c>
      <c r="O102" s="43"/>
      <c r="P102" s="44"/>
    </row>
    <row r="103" spans="1:16" ht="15.75">
      <c r="A103" s="41">
        <f t="shared" si="42"/>
        <v>10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>
        <f>(1/(1+$D$4))*(($D$11*M103+(1-$D$11)*M104)-((M103-M104)/((1+$D$9)-1/(1+$D$9)))*($D$5-$D$4))</f>
        <v>0</v>
      </c>
      <c r="M103" s="43">
        <f>(1/(1+$D$4))*(($D$11*N103+(1-$D$11)*N104)-((N103-N104)/((1+$D$9)-1/(1+$D$9)))*($D$5-$D$4))</f>
        <v>0</v>
      </c>
      <c r="N103" s="43">
        <f t="shared" si="41"/>
        <v>0</v>
      </c>
      <c r="O103" s="43"/>
      <c r="P103" s="44"/>
    </row>
    <row r="104" spans="1:16" ht="15.75">
      <c r="A104" s="41">
        <f t="shared" si="42"/>
        <v>11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>
        <f>(1/(1+$D$4))*(($D$11*N104+(1-$D$11)*N105)-((N104-N105)/((1+$D$9)-1/(1+$D$9)))*($D$5-$D$4))</f>
        <v>0</v>
      </c>
      <c r="N104" s="43">
        <f t="shared" si="41"/>
        <v>0</v>
      </c>
      <c r="O104" s="43"/>
      <c r="P104" s="44"/>
    </row>
    <row r="105" spans="1:16" ht="15.75">
      <c r="A105" s="41">
        <f t="shared" si="42"/>
        <v>12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>
        <f t="shared" si="41"/>
        <v>0</v>
      </c>
      <c r="O105" s="43"/>
      <c r="P105" s="44"/>
    </row>
    <row r="106" spans="1:16">
      <c r="P106" s="44"/>
    </row>
    <row r="108" spans="1:16" ht="15.75">
      <c r="A108" t="s">
        <v>77</v>
      </c>
      <c r="B108" s="3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34"/>
    </row>
    <row r="109" spans="1:16" ht="15.75">
      <c r="A109" s="163" t="s">
        <v>133</v>
      </c>
      <c r="B109" s="34" t="s">
        <v>78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9"/>
      <c r="O109" s="34"/>
    </row>
    <row r="110" spans="1:16" ht="15.75">
      <c r="A110" s="165" t="s">
        <v>141</v>
      </c>
      <c r="B110" s="34">
        <v>0</v>
      </c>
      <c r="C110" s="34">
        <v>1</v>
      </c>
      <c r="D110" s="34">
        <v>2</v>
      </c>
      <c r="E110" s="34">
        <v>3</v>
      </c>
      <c r="F110" s="34">
        <v>4</v>
      </c>
      <c r="G110" s="34">
        <v>5</v>
      </c>
      <c r="H110" s="34">
        <v>6</v>
      </c>
      <c r="I110" s="34">
        <v>7</v>
      </c>
      <c r="J110" s="34">
        <v>8</v>
      </c>
      <c r="K110" s="34">
        <v>9</v>
      </c>
      <c r="L110" s="34">
        <v>10</v>
      </c>
      <c r="M110" s="34">
        <v>11</v>
      </c>
      <c r="N110" s="34">
        <v>12</v>
      </c>
      <c r="O110" s="34"/>
    </row>
    <row r="111" spans="1:16" ht="15.75">
      <c r="A111" s="41" t="s">
        <v>53</v>
      </c>
      <c r="B111" s="32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6" ht="15.75">
      <c r="A112" s="41">
        <v>0</v>
      </c>
      <c r="B112" s="43">
        <f t="shared" ref="B112:M112" si="49">MAX(B25-B75,(1/(1+$D$4))*(($D$11*C112+(1-$D$11)*C113)-((C112-C113)/((1+$D$9)-1/(1+$D$9)))*($D$5-$D$4)))</f>
        <v>12.57210398125628</v>
      </c>
      <c r="C112" s="43">
        <f t="shared" si="49"/>
        <v>16.8734426860381</v>
      </c>
      <c r="D112" s="43">
        <f t="shared" si="49"/>
        <v>22.242880439967365</v>
      </c>
      <c r="E112" s="43">
        <f t="shared" si="49"/>
        <v>27.909061083689295</v>
      </c>
      <c r="F112" s="43">
        <f t="shared" si="49"/>
        <v>33.879991844378537</v>
      </c>
      <c r="G112" s="43">
        <f t="shared" si="49"/>
        <v>40.17167604452311</v>
      </c>
      <c r="H112" s="43">
        <f t="shared" si="49"/>
        <v>46.800956763836851</v>
      </c>
      <c r="I112" s="43">
        <f t="shared" si="49"/>
        <v>53.785560903591303</v>
      </c>
      <c r="J112" s="43">
        <f t="shared" si="49"/>
        <v>61.144145563120517</v>
      </c>
      <c r="K112" s="43">
        <f t="shared" si="49"/>
        <v>68.896346849824681</v>
      </c>
      <c r="L112" s="43">
        <f t="shared" si="49"/>
        <v>77.062831250364624</v>
      </c>
      <c r="M112" s="43">
        <f t="shared" si="49"/>
        <v>85.665349697439922</v>
      </c>
      <c r="N112" s="43">
        <f t="shared" ref="N112:N124" si="50">MAX(N25-N75,0)</f>
        <v>94.726794473594751</v>
      </c>
      <c r="O112" s="43"/>
      <c r="P112" s="44"/>
    </row>
    <row r="113" spans="1:16" ht="15.75">
      <c r="A113" s="41">
        <f t="shared" ref="A113:A124" si="51">1+A112</f>
        <v>1</v>
      </c>
      <c r="B113" s="43"/>
      <c r="C113" s="43">
        <f t="shared" ref="C113:M113" si="52">MAX(C26-C76,(1/(1+$D$4))*(($D$11*D113+(1-$D$11)*D114)-((D113-D114)/((1+$D$9)-1/(1+$D$9)))*($D$5-$D$4)))</f>
        <v>8.1907200174557087</v>
      </c>
      <c r="D113" s="43">
        <f t="shared" si="52"/>
        <v>11.41007900101944</v>
      </c>
      <c r="E113" s="43">
        <f t="shared" si="52"/>
        <v>15.584480968579957</v>
      </c>
      <c r="F113" s="43">
        <f t="shared" si="52"/>
        <v>20.850773911025613</v>
      </c>
      <c r="G113" s="43">
        <f t="shared" si="52"/>
        <v>26.458780341569778</v>
      </c>
      <c r="H113" s="43">
        <f t="shared" si="52"/>
        <v>32.368508897667439</v>
      </c>
      <c r="I113" s="43">
        <f t="shared" si="52"/>
        <v>38.595804055602031</v>
      </c>
      <c r="J113" s="43">
        <f t="shared" si="52"/>
        <v>45.157341713866359</v>
      </c>
      <c r="K113" s="43">
        <f t="shared" si="52"/>
        <v>52.070672820134092</v>
      </c>
      <c r="L113" s="43">
        <f t="shared" si="52"/>
        <v>59.354269287454727</v>
      </c>
      <c r="M113" s="43">
        <f t="shared" si="52"/>
        <v>67.027572319793535</v>
      </c>
      <c r="N113" s="43">
        <f t="shared" si="50"/>
        <v>75.111043273341565</v>
      </c>
      <c r="O113" s="43"/>
      <c r="P113" s="44"/>
    </row>
    <row r="114" spans="1:16" ht="15.75">
      <c r="A114" s="41">
        <f t="shared" si="51"/>
        <v>2</v>
      </c>
      <c r="B114" s="43"/>
      <c r="C114" s="43"/>
      <c r="D114" s="43">
        <f t="shared" ref="D114:M114" si="53">MAX(D27-D77,(1/(1+$D$4))*(($D$11*E114+(1-$D$11)*E115)-((E114-E115)/((1+$D$9)-1/(1+$D$9)))*($D$5-$D$4)))</f>
        <v>4.9052540831426192</v>
      </c>
      <c r="E114" s="43">
        <f t="shared" si="53"/>
        <v>7.1539727556630428</v>
      </c>
      <c r="F114" s="43">
        <f t="shared" si="53"/>
        <v>10.221161500886577</v>
      </c>
      <c r="G114" s="43">
        <f t="shared" si="53"/>
        <v>14.278467683657945</v>
      </c>
      <c r="H114" s="43">
        <f t="shared" si="53"/>
        <v>19.468612426438568</v>
      </c>
      <c r="I114" s="43">
        <f t="shared" si="53"/>
        <v>25.019015656351186</v>
      </c>
      <c r="J114" s="43">
        <f t="shared" si="53"/>
        <v>30.86814306416025</v>
      </c>
      <c r="K114" s="43">
        <f t="shared" si="53"/>
        <v>37.031681856554712</v>
      </c>
      <c r="L114" s="43">
        <f t="shared" si="53"/>
        <v>43.526142410145567</v>
      </c>
      <c r="M114" s="43">
        <f t="shared" si="53"/>
        <v>50.368901465418077</v>
      </c>
      <c r="N114" s="43">
        <f t="shared" si="50"/>
        <v>57.578247587185373</v>
      </c>
      <c r="O114" s="43"/>
      <c r="P114" s="44"/>
    </row>
    <row r="115" spans="1:16" ht="15.75">
      <c r="A115" s="41">
        <f t="shared" si="51"/>
        <v>3</v>
      </c>
      <c r="B115" s="43"/>
      <c r="C115" s="43"/>
      <c r="D115" s="43"/>
      <c r="E115" s="43">
        <f t="shared" ref="E115:M115" si="54">MAX(E28-E78,(1/(1+$D$4))*(($D$11*F115+(1-$D$11)*F116)-((F115-F116)/((1+$D$9)-1/(1+$D$9)))*($D$5-$D$4)))</f>
        <v>2.6062117340846132</v>
      </c>
      <c r="F115" s="43">
        <f t="shared" si="54"/>
        <v>4.0204994291977263</v>
      </c>
      <c r="G115" s="43">
        <f t="shared" si="54"/>
        <v>6.0800259507285785</v>
      </c>
      <c r="H115" s="43">
        <f t="shared" si="54"/>
        <v>8.987205611265761</v>
      </c>
      <c r="I115" s="43">
        <f t="shared" si="54"/>
        <v>12.942417557482838</v>
      </c>
      <c r="J115" s="43">
        <f t="shared" si="54"/>
        <v>18.096284475284861</v>
      </c>
      <c r="K115" s="43">
        <f t="shared" si="54"/>
        <v>23.589649828386271</v>
      </c>
      <c r="L115" s="43">
        <f t="shared" si="54"/>
        <v>29.378771157249759</v>
      </c>
      <c r="M115" s="43">
        <f t="shared" si="54"/>
        <v>35.479179959931159</v>
      </c>
      <c r="N115" s="43">
        <f t="shared" si="50"/>
        <v>41.907222734029133</v>
      </c>
      <c r="O115" s="43"/>
      <c r="P115" s="44"/>
    </row>
    <row r="116" spans="1:16" ht="15.75">
      <c r="A116" s="41">
        <f t="shared" si="51"/>
        <v>4</v>
      </c>
      <c r="B116" s="43"/>
      <c r="C116" s="43"/>
      <c r="D116" s="43"/>
      <c r="E116" s="43"/>
      <c r="F116" s="43">
        <f t="shared" ref="F116:M116" si="55">MAX(F29-F79,(1/(1+$D$4))*(($D$11*G116+(1-$D$11)*G117)-((G116-G117)/((1+$D$9)-1/(1+$D$9)))*($D$5-$D$4)))</f>
        <v>1.1578396195236225</v>
      </c>
      <c r="G116" s="43">
        <f t="shared" si="55"/>
        <v>1.9124833345017649</v>
      </c>
      <c r="H116" s="43">
        <f t="shared" si="55"/>
        <v>3.1064573196415712</v>
      </c>
      <c r="I116" s="43">
        <f t="shared" si="55"/>
        <v>4.945308174235489</v>
      </c>
      <c r="J116" s="43">
        <f t="shared" si="55"/>
        <v>7.6818554220972466</v>
      </c>
      <c r="K116" s="43">
        <f t="shared" si="55"/>
        <v>11.574999012790514</v>
      </c>
      <c r="L116" s="43">
        <f t="shared" si="55"/>
        <v>16.733679611124288</v>
      </c>
      <c r="M116" s="43">
        <f t="shared" si="55"/>
        <v>22.17056677890254</v>
      </c>
      <c r="N116" s="43">
        <f t="shared" si="50"/>
        <v>27.900271170557076</v>
      </c>
      <c r="O116" s="43"/>
      <c r="P116" s="44"/>
    </row>
    <row r="117" spans="1:16" ht="15.75">
      <c r="A117" s="41">
        <f t="shared" si="51"/>
        <v>5</v>
      </c>
      <c r="B117" s="43"/>
      <c r="C117" s="43"/>
      <c r="D117" s="43"/>
      <c r="E117" s="43"/>
      <c r="F117" s="43"/>
      <c r="G117" s="43">
        <f t="shared" ref="G117:M117" si="56">MAX(G30-G80,(1/(1+$D$4))*(($D$11*H117+(1-$D$11)*H118)-((H117-H118)/((1+$D$9)-1/(1+$D$9)))*($D$5-$D$4)))</f>
        <v>0.38382547817897306</v>
      </c>
      <c r="H117" s="43">
        <f t="shared" si="56"/>
        <v>0.68827172763623223</v>
      </c>
      <c r="I117" s="43">
        <f t="shared" si="56"/>
        <v>1.2218558013610108</v>
      </c>
      <c r="J117" s="43">
        <f t="shared" si="56"/>
        <v>2.1423141696767454</v>
      </c>
      <c r="K117" s="43">
        <f t="shared" si="56"/>
        <v>3.697467681370425</v>
      </c>
      <c r="L117" s="43">
        <f t="shared" si="56"/>
        <v>6.2512510244935022</v>
      </c>
      <c r="M117" s="43">
        <f t="shared" si="56"/>
        <v>10.27516734265518</v>
      </c>
      <c r="N117" s="43">
        <f t="shared" si="50"/>
        <v>15.380688441292492</v>
      </c>
      <c r="O117" s="43"/>
      <c r="P117" s="44"/>
    </row>
    <row r="118" spans="1:16" ht="15.75">
      <c r="A118" s="41">
        <f t="shared" si="51"/>
        <v>6</v>
      </c>
      <c r="B118" s="43"/>
      <c r="C118" s="43"/>
      <c r="D118" s="43"/>
      <c r="E118" s="43"/>
      <c r="F118" s="43"/>
      <c r="G118" s="43"/>
      <c r="H118" s="43">
        <f t="shared" ref="H118:M118" si="57">MAX(H31-H81,(1/(1+$D$4))*(($D$11*I118+(1-$D$11)*I119)-((I118-I119)/((1+$D$9)-1/(1+$D$9)))*($D$5-$D$4)))</f>
        <v>7.1141229377328544E-2</v>
      </c>
      <c r="I118" s="43">
        <f t="shared" si="57"/>
        <v>0.1403285482911312</v>
      </c>
      <c r="J118" s="43">
        <f t="shared" si="57"/>
        <v>0.27680294026197794</v>
      </c>
      <c r="K118" s="43">
        <f t="shared" si="57"/>
        <v>0.54600342318597572</v>
      </c>
      <c r="L118" s="43">
        <f t="shared" si="57"/>
        <v>1.0770107349605846</v>
      </c>
      <c r="M118" s="43">
        <f t="shared" si="57"/>
        <v>2.1244411187972432</v>
      </c>
      <c r="N118" s="43">
        <f t="shared" si="50"/>
        <v>4.1905339665919428</v>
      </c>
      <c r="O118" s="43"/>
      <c r="P118" s="44"/>
    </row>
    <row r="119" spans="1:16" ht="15.75">
      <c r="A119" s="41">
        <f t="shared" si="51"/>
        <v>7</v>
      </c>
      <c r="B119" s="43"/>
      <c r="C119" s="43"/>
      <c r="D119" s="43"/>
      <c r="E119" s="43"/>
      <c r="F119" s="43"/>
      <c r="G119" s="43"/>
      <c r="H119" s="43"/>
      <c r="I119" s="43">
        <f>MAX(I32-I82,(1/(1+$D$4))*(($D$11*J119+(1-$D$11)*J120)-((J119-J120)/((1+$D$9)-1/(1+$D$9)))*($D$5-$D$4)))</f>
        <v>0</v>
      </c>
      <c r="J119" s="43">
        <f>MAX(J32-J82,(1/(1+$D$4))*(($D$11*K119+(1-$D$11)*K120)-((K119-K120)/((1+$D$9)-1/(1+$D$9)))*($D$5-$D$4)))</f>
        <v>0</v>
      </c>
      <c r="K119" s="43">
        <f>MAX(K32-K82,(1/(1+$D$4))*(($D$11*L119+(1-$D$11)*L120)-((L119-L120)/((1+$D$9)-1/(1+$D$9)))*($D$5-$D$4)))</f>
        <v>0</v>
      </c>
      <c r="L119" s="43">
        <f>MAX(L32-L82,(1/(1+$D$4))*(($D$11*M119+(1-$D$11)*M120)-((M119-M120)/((1+$D$9)-1/(1+$D$9)))*($D$5-$D$4)))</f>
        <v>0</v>
      </c>
      <c r="M119" s="43">
        <f>MAX(M32-M82,(1/(1+$D$4))*(($D$11*N119+(1-$D$11)*N120)-((N119-N120)/((1+$D$9)-1/(1+$D$9)))*($D$5-$D$4)))</f>
        <v>0</v>
      </c>
      <c r="N119" s="43">
        <f t="shared" si="50"/>
        <v>0</v>
      </c>
      <c r="O119" s="43"/>
      <c r="P119" s="44"/>
    </row>
    <row r="120" spans="1:16" ht="15.75">
      <c r="A120" s="41">
        <f t="shared" si="51"/>
        <v>8</v>
      </c>
      <c r="B120" s="43"/>
      <c r="C120" s="43"/>
      <c r="D120" s="43"/>
      <c r="E120" s="43"/>
      <c r="F120" s="43"/>
      <c r="G120" s="43"/>
      <c r="H120" s="43"/>
      <c r="I120" s="43"/>
      <c r="J120" s="43">
        <f>MAX(J33-J83,(1/(1+$D$4))*(($D$11*K120+(1-$D$11)*K121)-((K120-K121)/((1+$D$9)-1/(1+$D$9)))*($D$5-$D$4)))</f>
        <v>0</v>
      </c>
      <c r="K120" s="43">
        <f>MAX(K33-K83,(1/(1+$D$4))*(($D$11*L120+(1-$D$11)*L121)-((L120-L121)/((1+$D$9)-1/(1+$D$9)))*($D$5-$D$4)))</f>
        <v>0</v>
      </c>
      <c r="L120" s="43">
        <f>MAX(L33-L83,(1/(1+$D$4))*(($D$11*M120+(1-$D$11)*M121)-((M120-M121)/((1+$D$9)-1/(1+$D$9)))*($D$5-$D$4)))</f>
        <v>0</v>
      </c>
      <c r="M120" s="43">
        <f>MAX(M33-M83,(1/(1+$D$4))*(($D$11*N120+(1-$D$11)*N121)-((N120-N121)/((1+$D$9)-1/(1+$D$9)))*($D$5-$D$4)))</f>
        <v>0</v>
      </c>
      <c r="N120" s="43">
        <f t="shared" si="50"/>
        <v>0</v>
      </c>
      <c r="O120" s="43"/>
      <c r="P120" s="44"/>
    </row>
    <row r="121" spans="1:16" ht="15.75">
      <c r="A121" s="41">
        <f t="shared" si="51"/>
        <v>9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>
        <f>MAX(K34-K84,(1/(1+$D$4))*(($D$11*L121+(1-$D$11)*L122)-((L121-L122)/((1+$D$9)-1/(1+$D$9)))*($D$5-$D$4)))</f>
        <v>0</v>
      </c>
      <c r="L121" s="43">
        <f>MAX(L34-L84,(1/(1+$D$4))*(($D$11*M121+(1-$D$11)*M122)-((M121-M122)/((1+$D$9)-1/(1+$D$9)))*($D$5-$D$4)))</f>
        <v>0</v>
      </c>
      <c r="M121" s="43">
        <f>MAX(M34-M84,(1/(1+$D$4))*(($D$11*N121+(1-$D$11)*N122)-((N121-N122)/((1+$D$9)-1/(1+$D$9)))*($D$5-$D$4)))</f>
        <v>0</v>
      </c>
      <c r="N121" s="43">
        <f t="shared" si="50"/>
        <v>0</v>
      </c>
      <c r="O121" s="43"/>
      <c r="P121" s="44"/>
    </row>
    <row r="122" spans="1:16" ht="15.75">
      <c r="A122" s="41">
        <f t="shared" si="51"/>
        <v>10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>
        <f>MAX(L35-L85,(1/(1+$D$4))*(($D$11*M122+(1-$D$11)*M123)-((M122-M123)/((1+$D$9)-1/(1+$D$9)))*($D$5-$D$4)))</f>
        <v>0</v>
      </c>
      <c r="M122" s="43">
        <f>MAX(M35-M85,(1/(1+$D$4))*(($D$11*N122+(1-$D$11)*N123)-((N122-N123)/((1+$D$9)-1/(1+$D$9)))*($D$5-$D$4)))</f>
        <v>0</v>
      </c>
      <c r="N122" s="43">
        <f t="shared" si="50"/>
        <v>0</v>
      </c>
      <c r="O122" s="43"/>
      <c r="P122" s="44"/>
    </row>
    <row r="123" spans="1:16" ht="15.75">
      <c r="A123" s="41">
        <f t="shared" si="51"/>
        <v>11</v>
      </c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>
        <f>MAX(M36-M86,(1/(1+$D$4))*(($D$11*N123+(1-$D$11)*N124)-((N123-N124)/((1+$D$9)-1/(1+$D$9)))*($D$5-$D$4)))</f>
        <v>0</v>
      </c>
      <c r="N123" s="43">
        <f t="shared" si="50"/>
        <v>0</v>
      </c>
      <c r="O123" s="43"/>
      <c r="P123" s="44"/>
    </row>
    <row r="124" spans="1:16" ht="15.75">
      <c r="A124" s="41">
        <f t="shared" si="51"/>
        <v>12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>
        <f t="shared" si="50"/>
        <v>0</v>
      </c>
      <c r="O124" s="43"/>
      <c r="P124" s="44"/>
    </row>
    <row r="125" spans="1:16" ht="15.75">
      <c r="A125" s="4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4"/>
    </row>
    <row r="126" spans="1:16">
      <c r="A126" t="s">
        <v>85</v>
      </c>
      <c r="P126" s="70"/>
    </row>
    <row r="127" spans="1:16" ht="15.75">
      <c r="A127" s="163" t="s">
        <v>133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O127" s="35"/>
      <c r="P127" s="70"/>
    </row>
    <row r="128" spans="1:16" ht="15.75">
      <c r="A128" s="165" t="s">
        <v>141</v>
      </c>
      <c r="B128" s="34">
        <v>0</v>
      </c>
      <c r="C128" s="34">
        <v>1</v>
      </c>
      <c r="D128" s="34">
        <v>2</v>
      </c>
      <c r="E128" s="34">
        <v>3</v>
      </c>
      <c r="F128" s="34">
        <v>4</v>
      </c>
      <c r="G128" s="34">
        <v>5</v>
      </c>
      <c r="H128" s="34">
        <v>6</v>
      </c>
      <c r="I128" s="34">
        <v>7</v>
      </c>
      <c r="J128" s="34">
        <v>8</v>
      </c>
      <c r="K128" s="34">
        <v>9</v>
      </c>
      <c r="L128" s="34">
        <v>10</v>
      </c>
      <c r="M128" s="34">
        <v>11</v>
      </c>
      <c r="N128" s="159" t="s">
        <v>142</v>
      </c>
      <c r="O128" s="34"/>
    </row>
    <row r="129" spans="1:16" ht="15.75">
      <c r="A129" s="41" t="s">
        <v>53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6" ht="15.75">
      <c r="A130" s="41">
        <v>0</v>
      </c>
      <c r="B130" s="35" t="str">
        <f t="shared" ref="B130:N130" si="58">IF(B112=B25-B75,"exer","hold")</f>
        <v>hold</v>
      </c>
      <c r="C130" s="35" t="str">
        <f t="shared" si="58"/>
        <v>hold</v>
      </c>
      <c r="D130" s="35" t="str">
        <f t="shared" si="58"/>
        <v>exer</v>
      </c>
      <c r="E130" s="35" t="str">
        <f t="shared" si="58"/>
        <v>exer</v>
      </c>
      <c r="F130" s="35" t="str">
        <f t="shared" si="58"/>
        <v>exer</v>
      </c>
      <c r="G130" s="35" t="str">
        <f t="shared" si="58"/>
        <v>exer</v>
      </c>
      <c r="H130" s="35" t="str">
        <f t="shared" si="58"/>
        <v>exer</v>
      </c>
      <c r="I130" s="35" t="str">
        <f t="shared" si="58"/>
        <v>exer</v>
      </c>
      <c r="J130" s="35" t="str">
        <f t="shared" si="58"/>
        <v>exer</v>
      </c>
      <c r="K130" s="35" t="str">
        <f t="shared" si="58"/>
        <v>exer</v>
      </c>
      <c r="L130" s="35" t="str">
        <f t="shared" si="58"/>
        <v>exer</v>
      </c>
      <c r="M130" s="35" t="str">
        <f t="shared" si="58"/>
        <v>exer</v>
      </c>
      <c r="N130" s="35" t="str">
        <f t="shared" si="58"/>
        <v>exer</v>
      </c>
      <c r="O130" s="35"/>
      <c r="P130" s="36"/>
    </row>
    <row r="131" spans="1:16" ht="15.75">
      <c r="A131" s="41">
        <f t="shared" ref="A131:A142" si="59">1+A130</f>
        <v>1</v>
      </c>
      <c r="B131" s="35"/>
      <c r="C131" s="35" t="str">
        <f t="shared" ref="C131:N131" si="60">IF(C113=C26-C76,"exer","hold")</f>
        <v>hold</v>
      </c>
      <c r="D131" s="35" t="str">
        <f t="shared" si="60"/>
        <v>hold</v>
      </c>
      <c r="E131" s="35" t="str">
        <f t="shared" si="60"/>
        <v>hold</v>
      </c>
      <c r="F131" s="35" t="str">
        <f t="shared" si="60"/>
        <v>exer</v>
      </c>
      <c r="G131" s="35" t="str">
        <f t="shared" si="60"/>
        <v>exer</v>
      </c>
      <c r="H131" s="35" t="str">
        <f t="shared" si="60"/>
        <v>exer</v>
      </c>
      <c r="I131" s="35" t="str">
        <f t="shared" si="60"/>
        <v>exer</v>
      </c>
      <c r="J131" s="35" t="str">
        <f t="shared" si="60"/>
        <v>exer</v>
      </c>
      <c r="K131" s="35" t="str">
        <f t="shared" si="60"/>
        <v>exer</v>
      </c>
      <c r="L131" s="35" t="str">
        <f t="shared" si="60"/>
        <v>exer</v>
      </c>
      <c r="M131" s="35" t="str">
        <f t="shared" si="60"/>
        <v>exer</v>
      </c>
      <c r="N131" s="35" t="str">
        <f t="shared" si="60"/>
        <v>exer</v>
      </c>
      <c r="O131" s="35"/>
      <c r="P131" s="36"/>
    </row>
    <row r="132" spans="1:16" ht="15.75">
      <c r="A132" s="41">
        <f t="shared" si="59"/>
        <v>2</v>
      </c>
      <c r="B132" s="35"/>
      <c r="C132" s="35"/>
      <c r="D132" s="35" t="str">
        <f t="shared" ref="D132:N132" si="61">IF(D114=D27-D77,"exer","hold")</f>
        <v>hold</v>
      </c>
      <c r="E132" s="35" t="str">
        <f t="shared" si="61"/>
        <v>hold</v>
      </c>
      <c r="F132" s="35" t="str">
        <f t="shared" si="61"/>
        <v>hold</v>
      </c>
      <c r="G132" s="35" t="str">
        <f t="shared" si="61"/>
        <v>hold</v>
      </c>
      <c r="H132" s="35" t="str">
        <f t="shared" si="61"/>
        <v>exer</v>
      </c>
      <c r="I132" s="35" t="str">
        <f t="shared" si="61"/>
        <v>exer</v>
      </c>
      <c r="J132" s="35" t="str">
        <f t="shared" si="61"/>
        <v>exer</v>
      </c>
      <c r="K132" s="35" t="str">
        <f t="shared" si="61"/>
        <v>exer</v>
      </c>
      <c r="L132" s="35" t="str">
        <f t="shared" si="61"/>
        <v>exer</v>
      </c>
      <c r="M132" s="35" t="str">
        <f t="shared" si="61"/>
        <v>exer</v>
      </c>
      <c r="N132" s="35" t="str">
        <f t="shared" si="61"/>
        <v>exer</v>
      </c>
      <c r="O132" s="35"/>
      <c r="P132" s="36"/>
    </row>
    <row r="133" spans="1:16" ht="15.75">
      <c r="A133" s="41">
        <f t="shared" si="59"/>
        <v>3</v>
      </c>
      <c r="B133" s="35"/>
      <c r="C133" s="35"/>
      <c r="D133" s="35"/>
      <c r="E133" s="35" t="str">
        <f t="shared" ref="E133:N133" si="62">IF(E115=E28-E78,"exer","hold")</f>
        <v>hold</v>
      </c>
      <c r="F133" s="35" t="str">
        <f t="shared" si="62"/>
        <v>hold</v>
      </c>
      <c r="G133" s="35" t="str">
        <f t="shared" si="62"/>
        <v>hold</v>
      </c>
      <c r="H133" s="35" t="str">
        <f t="shared" si="62"/>
        <v>hold</v>
      </c>
      <c r="I133" s="35" t="str">
        <f t="shared" si="62"/>
        <v>hold</v>
      </c>
      <c r="J133" s="35" t="str">
        <f t="shared" si="62"/>
        <v>exer</v>
      </c>
      <c r="K133" s="35" t="str">
        <f t="shared" si="62"/>
        <v>exer</v>
      </c>
      <c r="L133" s="35" t="str">
        <f t="shared" si="62"/>
        <v>exer</v>
      </c>
      <c r="M133" s="35" t="str">
        <f t="shared" si="62"/>
        <v>exer</v>
      </c>
      <c r="N133" s="35" t="str">
        <f t="shared" si="62"/>
        <v>exer</v>
      </c>
      <c r="O133" s="35"/>
      <c r="P133" s="36"/>
    </row>
    <row r="134" spans="1:16" ht="15.75">
      <c r="A134" s="41">
        <f t="shared" si="59"/>
        <v>4</v>
      </c>
      <c r="B134" s="35"/>
      <c r="C134" s="35"/>
      <c r="D134" s="35"/>
      <c r="E134" s="35"/>
      <c r="F134" s="35" t="str">
        <f t="shared" ref="F134:N134" si="63">IF(F116=F29-F79,"exer","hold")</f>
        <v>hold</v>
      </c>
      <c r="G134" s="35" t="str">
        <f t="shared" si="63"/>
        <v>hold</v>
      </c>
      <c r="H134" s="35" t="str">
        <f t="shared" si="63"/>
        <v>hold</v>
      </c>
      <c r="I134" s="35" t="str">
        <f t="shared" si="63"/>
        <v>hold</v>
      </c>
      <c r="J134" s="35" t="str">
        <f t="shared" si="63"/>
        <v>hold</v>
      </c>
      <c r="K134" s="35" t="str">
        <f t="shared" si="63"/>
        <v>exer</v>
      </c>
      <c r="L134" s="35" t="str">
        <f t="shared" si="63"/>
        <v>exer</v>
      </c>
      <c r="M134" s="35" t="str">
        <f t="shared" si="63"/>
        <v>exer</v>
      </c>
      <c r="N134" s="35" t="str">
        <f t="shared" si="63"/>
        <v>exer</v>
      </c>
      <c r="O134" s="35"/>
      <c r="P134" s="36"/>
    </row>
    <row r="135" spans="1:16" ht="15.75">
      <c r="A135" s="41">
        <f t="shared" si="59"/>
        <v>5</v>
      </c>
      <c r="B135" s="35"/>
      <c r="C135" s="35"/>
      <c r="D135" s="35"/>
      <c r="E135" s="35"/>
      <c r="F135" s="35"/>
      <c r="G135" s="35" t="str">
        <f t="shared" ref="G135:N135" si="64">IF(G117=G30-G80,"exer","hold")</f>
        <v>hold</v>
      </c>
      <c r="H135" s="35" t="str">
        <f t="shared" si="64"/>
        <v>hold</v>
      </c>
      <c r="I135" s="35" t="str">
        <f t="shared" si="64"/>
        <v>hold</v>
      </c>
      <c r="J135" s="35" t="str">
        <f t="shared" si="64"/>
        <v>hold</v>
      </c>
      <c r="K135" s="35" t="str">
        <f t="shared" si="64"/>
        <v>hold</v>
      </c>
      <c r="L135" s="35" t="str">
        <f t="shared" si="64"/>
        <v>hold</v>
      </c>
      <c r="M135" s="35" t="str">
        <f t="shared" si="64"/>
        <v>exer</v>
      </c>
      <c r="N135" s="35" t="str">
        <f t="shared" si="64"/>
        <v>exer</v>
      </c>
      <c r="O135" s="35"/>
      <c r="P135" s="36"/>
    </row>
    <row r="136" spans="1:16" ht="15.75">
      <c r="A136" s="41">
        <f t="shared" si="59"/>
        <v>6</v>
      </c>
      <c r="B136" s="35"/>
      <c r="C136" s="35"/>
      <c r="D136" s="35"/>
      <c r="E136" s="35"/>
      <c r="F136" s="35"/>
      <c r="G136" s="35"/>
      <c r="H136" s="35" t="str">
        <f t="shared" ref="H136:N136" si="65">IF(H118=H31-H81,"exer","hold")</f>
        <v>hold</v>
      </c>
      <c r="I136" s="35" t="str">
        <f t="shared" si="65"/>
        <v>hold</v>
      </c>
      <c r="J136" s="35" t="str">
        <f t="shared" si="65"/>
        <v>hold</v>
      </c>
      <c r="K136" s="35" t="str">
        <f t="shared" si="65"/>
        <v>hold</v>
      </c>
      <c r="L136" s="35" t="str">
        <f t="shared" si="65"/>
        <v>hold</v>
      </c>
      <c r="M136" s="35" t="str">
        <f t="shared" si="65"/>
        <v>hold</v>
      </c>
      <c r="N136" s="35" t="str">
        <f t="shared" si="65"/>
        <v>exer</v>
      </c>
      <c r="O136" s="35"/>
      <c r="P136" s="36"/>
    </row>
    <row r="137" spans="1:16" ht="15.75">
      <c r="A137" s="41">
        <f t="shared" si="59"/>
        <v>7</v>
      </c>
      <c r="B137" s="35"/>
      <c r="C137" s="35"/>
      <c r="D137" s="35"/>
      <c r="E137" s="35"/>
      <c r="F137" s="35"/>
      <c r="G137" s="35"/>
      <c r="H137" s="35"/>
      <c r="I137" s="35" t="str">
        <f t="shared" ref="I137:N137" si="66">IF(I119=I32-I82,"exer","hold")</f>
        <v>hold</v>
      </c>
      <c r="J137" s="35" t="str">
        <f t="shared" si="66"/>
        <v>hold</v>
      </c>
      <c r="K137" s="35" t="str">
        <f t="shared" si="66"/>
        <v>hold</v>
      </c>
      <c r="L137" s="35" t="str">
        <f t="shared" si="66"/>
        <v>hold</v>
      </c>
      <c r="M137" s="35" t="str">
        <f t="shared" si="66"/>
        <v>hold</v>
      </c>
      <c r="N137" s="35" t="str">
        <f t="shared" si="66"/>
        <v>hold</v>
      </c>
      <c r="O137" s="35"/>
      <c r="P137" s="36"/>
    </row>
    <row r="138" spans="1:16" ht="15.75">
      <c r="A138" s="41">
        <f t="shared" si="59"/>
        <v>8</v>
      </c>
      <c r="B138" s="35"/>
      <c r="C138" s="35"/>
      <c r="D138" s="35"/>
      <c r="E138" s="35"/>
      <c r="F138" s="35"/>
      <c r="G138" s="35"/>
      <c r="H138" s="35"/>
      <c r="I138" s="35"/>
      <c r="J138" s="35" t="str">
        <f>IF(J120=J33-J83,"exer","hold")</f>
        <v>hold</v>
      </c>
      <c r="K138" s="35" t="str">
        <f>IF(K120=K33-K83,"exer","hold")</f>
        <v>hold</v>
      </c>
      <c r="L138" s="35" t="str">
        <f>IF(L120=L33-L83,"exer","hold")</f>
        <v>hold</v>
      </c>
      <c r="M138" s="35" t="str">
        <f>IF(M120=M33-M83,"exer","hold")</f>
        <v>hold</v>
      </c>
      <c r="N138" s="35" t="str">
        <f>IF(N120=N33-N83,"exer","hold")</f>
        <v>hold</v>
      </c>
      <c r="O138" s="35"/>
      <c r="P138" s="36"/>
    </row>
    <row r="139" spans="1:16" ht="15.75">
      <c r="A139" s="41">
        <f t="shared" si="59"/>
        <v>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 t="str">
        <f>IF(K121=K34-K84,"exer","hold")</f>
        <v>hold</v>
      </c>
      <c r="L139" s="35" t="str">
        <f>IF(L121=L34-L84,"exer","hold")</f>
        <v>hold</v>
      </c>
      <c r="M139" s="35" t="str">
        <f>IF(M121=M34-M84,"exer","hold")</f>
        <v>hold</v>
      </c>
      <c r="N139" s="35" t="str">
        <f>IF(N121=N34-N84,"exer","hold")</f>
        <v>hold</v>
      </c>
      <c r="O139" s="35"/>
      <c r="P139" s="36"/>
    </row>
    <row r="140" spans="1:16" ht="15.75">
      <c r="A140" s="41">
        <f t="shared" si="59"/>
        <v>10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 t="str">
        <f>IF(L122=L35-L85,"exer","hold")</f>
        <v>hold</v>
      </c>
      <c r="M140" s="35" t="str">
        <f>IF(M122=M35-M85,"exer","hold")</f>
        <v>hold</v>
      </c>
      <c r="N140" s="35" t="str">
        <f>IF(N122=N35-N85,"exer","hold")</f>
        <v>hold</v>
      </c>
      <c r="O140" s="35"/>
      <c r="P140" s="36"/>
    </row>
    <row r="141" spans="1:16" ht="15.75">
      <c r="A141" s="41">
        <f t="shared" si="59"/>
        <v>11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 t="str">
        <f>IF(M123=M36-M86,"exer","hold")</f>
        <v>hold</v>
      </c>
      <c r="N141" s="35" t="str">
        <f>IF(N123=N36-N86,"exer","hold")</f>
        <v>hold</v>
      </c>
      <c r="O141" s="35"/>
      <c r="P141" s="36"/>
    </row>
    <row r="142" spans="1:16" ht="15.75">
      <c r="A142" s="41">
        <f t="shared" si="59"/>
        <v>12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 t="str">
        <f>IF(N124=N37-N87,"exer","hold")</f>
        <v>hold</v>
      </c>
      <c r="O142" s="35"/>
      <c r="P142" s="36"/>
    </row>
    <row r="144" spans="1:16">
      <c r="B144" t="s">
        <v>44</v>
      </c>
      <c r="P144" s="44"/>
    </row>
    <row r="145" spans="1:16">
      <c r="B145" t="s">
        <v>45</v>
      </c>
      <c r="P145" s="44"/>
    </row>
    <row r="146" spans="1:16">
      <c r="B146" s="13" t="s">
        <v>46</v>
      </c>
      <c r="P146" s="44"/>
    </row>
    <row r="147" spans="1:16" ht="15.75">
      <c r="B147" s="34" t="s">
        <v>51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1:16" ht="15.75">
      <c r="A148" s="163" t="s">
        <v>133</v>
      </c>
      <c r="B148" s="34">
        <v>0</v>
      </c>
      <c r="C148" s="34">
        <v>1</v>
      </c>
      <c r="D148" s="34">
        <v>2</v>
      </c>
      <c r="E148" s="34">
        <v>3</v>
      </c>
      <c r="F148" s="34">
        <v>4</v>
      </c>
      <c r="G148" s="34">
        <v>5</v>
      </c>
      <c r="H148" s="34">
        <v>6</v>
      </c>
      <c r="I148" s="34">
        <v>7</v>
      </c>
      <c r="J148" s="34">
        <v>8</v>
      </c>
      <c r="K148" s="34">
        <v>9</v>
      </c>
      <c r="L148" s="34">
        <v>10</v>
      </c>
      <c r="M148" s="34">
        <v>11</v>
      </c>
    </row>
    <row r="149" spans="1:16" ht="15.75">
      <c r="A149" s="41" t="s">
        <v>53</v>
      </c>
      <c r="B149" s="34" t="s">
        <v>47</v>
      </c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</row>
    <row r="150" spans="1:16" ht="15.75">
      <c r="A150" s="41">
        <v>0</v>
      </c>
      <c r="B150" s="71">
        <f t="shared" ref="B150:M150" si="67">IF(C112&gt;0,(1+$D$4)*(($D$11*C112+(1-$D$11)*C113)/(($D$11*C112+(1-$D$11)*C113)-((C112-C113)/((1+$D$9)-1/(1+$D$9))*($D$5-$D$4))))-1,"NA")</f>
        <v>3.3244400788569051E-2</v>
      </c>
      <c r="C150" s="71">
        <f t="shared" si="67"/>
        <v>3.1079534437393308E-2</v>
      </c>
      <c r="D150" s="71">
        <f t="shared" si="67"/>
        <v>2.7674394837283067E-2</v>
      </c>
      <c r="E150" s="71">
        <f t="shared" si="67"/>
        <v>2.3665131152886598E-2</v>
      </c>
      <c r="F150" s="71">
        <f t="shared" si="67"/>
        <v>2.0807128979926315E-2</v>
      </c>
      <c r="G150" s="71">
        <f t="shared" si="67"/>
        <v>1.8722344917962763E-2</v>
      </c>
      <c r="H150" s="71">
        <f t="shared" si="67"/>
        <v>1.713609400974403E-2</v>
      </c>
      <c r="I150" s="71">
        <f t="shared" si="67"/>
        <v>1.5890016070188251E-2</v>
      </c>
      <c r="J150" s="71">
        <f t="shared" si="67"/>
        <v>1.4886392801199966E-2</v>
      </c>
      <c r="K150" s="71">
        <f t="shared" si="67"/>
        <v>1.4061655734871392E-2</v>
      </c>
      <c r="L150" s="71">
        <f t="shared" si="67"/>
        <v>1.3372666272655653E-2</v>
      </c>
      <c r="M150" s="71">
        <f t="shared" si="67"/>
        <v>1.2789118301761881E-2</v>
      </c>
      <c r="N150" s="2"/>
      <c r="O150" s="2"/>
      <c r="P150" s="42"/>
    </row>
    <row r="151" spans="1:16" ht="15.75">
      <c r="A151" s="41">
        <f t="shared" ref="A151:A162" si="68">1+A150</f>
        <v>1</v>
      </c>
      <c r="B151" s="34"/>
      <c r="C151" s="71">
        <f t="shared" ref="C151:M151" si="69">IF(D113&gt;0,(1+$D$4)*(($D$11*D113+(1-$D$11)*D114)/(($D$11*D113+(1-$D$11)*D114)-((D113-D114)/((1+$D$9)-1/(1+$D$9))*($D$5-$D$4))))-1,"NA")</f>
        <v>3.7853433510962375E-2</v>
      </c>
      <c r="D151" s="71">
        <f t="shared" si="69"/>
        <v>3.539146155912043E-2</v>
      </c>
      <c r="E151" s="71">
        <f t="shared" si="69"/>
        <v>3.2862893329003384E-2</v>
      </c>
      <c r="F151" s="71">
        <f t="shared" si="69"/>
        <v>2.9056279846763067E-2</v>
      </c>
      <c r="G151" s="71">
        <f t="shared" si="69"/>
        <v>2.4620892300918129E-2</v>
      </c>
      <c r="H151" s="71">
        <f t="shared" si="69"/>
        <v>2.1482278890761375E-2</v>
      </c>
      <c r="I151" s="71">
        <f t="shared" si="69"/>
        <v>1.9223983392704591E-2</v>
      </c>
      <c r="J151" s="71">
        <f t="shared" si="69"/>
        <v>1.7523018051677441E-2</v>
      </c>
      <c r="K151" s="71">
        <f t="shared" si="69"/>
        <v>1.6197173661476327E-2</v>
      </c>
      <c r="L151" s="71">
        <f t="shared" si="69"/>
        <v>1.5135854874260168E-2</v>
      </c>
      <c r="M151" s="71">
        <f t="shared" si="69"/>
        <v>1.4268044107593969E-2</v>
      </c>
      <c r="N151" s="2"/>
      <c r="O151" s="2"/>
      <c r="P151" s="42"/>
    </row>
    <row r="152" spans="1:16" ht="15.75">
      <c r="A152" s="41">
        <f t="shared" si="68"/>
        <v>2</v>
      </c>
      <c r="B152" s="34"/>
      <c r="C152" s="34"/>
      <c r="D152" s="71">
        <f t="shared" ref="D152:M152" si="70">IF(E114&gt;0,(1+$D$4)*(($D$11*E114+(1-$D$11)*E115)/(($D$11*E114+(1-$D$11)*E115)-((E114-E115)/((1+$D$9)-1/(1+$D$9))*($D$5-$D$4))))-1,"NA")</f>
        <v>4.3771874553616641E-2</v>
      </c>
      <c r="E152" s="71">
        <f t="shared" si="70"/>
        <v>4.1084142184237171E-2</v>
      </c>
      <c r="F152" s="71">
        <f t="shared" si="70"/>
        <v>3.8206652065864599E-2</v>
      </c>
      <c r="G152" s="71">
        <f t="shared" si="70"/>
        <v>3.5178043185648766E-2</v>
      </c>
      <c r="H152" s="71">
        <f t="shared" si="70"/>
        <v>3.0746617161867551E-2</v>
      </c>
      <c r="I152" s="71">
        <f t="shared" si="70"/>
        <v>2.5681706430013662E-2</v>
      </c>
      <c r="J152" s="71">
        <f t="shared" si="70"/>
        <v>2.2219224243621882E-2</v>
      </c>
      <c r="K152" s="71">
        <f t="shared" si="70"/>
        <v>1.9764998301323056E-2</v>
      </c>
      <c r="L152" s="71">
        <f t="shared" si="70"/>
        <v>1.7936557032258271E-2</v>
      </c>
      <c r="M152" s="71">
        <f t="shared" si="70"/>
        <v>1.6523153951929048E-2</v>
      </c>
      <c r="N152" s="2"/>
      <c r="O152" s="2"/>
      <c r="P152" s="42"/>
    </row>
    <row r="153" spans="1:16" ht="15.75">
      <c r="A153" s="41">
        <f t="shared" si="68"/>
        <v>3</v>
      </c>
      <c r="B153" s="34"/>
      <c r="C153" s="34"/>
      <c r="D153" s="34"/>
      <c r="E153" s="71">
        <f t="shared" ref="E153:M153" si="71">IF(F115&gt;0,(1+$D$4)*(($D$11*F115+(1-$D$11)*F116)/(($D$11*F115+(1-$D$11)*F116)-((F115-F116)/((1+$D$9)-1/(1+$D$9))*($D$5-$D$4))))-1,"NA")</f>
        <v>5.1396538184975027E-2</v>
      </c>
      <c r="F153" s="71">
        <f t="shared" si="71"/>
        <v>4.8644305336698723E-2</v>
      </c>
      <c r="G153" s="71">
        <f t="shared" si="71"/>
        <v>4.5557144633247004E-2</v>
      </c>
      <c r="H153" s="71">
        <f t="shared" si="71"/>
        <v>4.2111968617347895E-2</v>
      </c>
      <c r="I153" s="71">
        <f t="shared" si="71"/>
        <v>3.8321034687092803E-2</v>
      </c>
      <c r="J153" s="71">
        <f t="shared" si="71"/>
        <v>3.2825079220403675E-2</v>
      </c>
      <c r="K153" s="71">
        <f t="shared" si="71"/>
        <v>2.6865790806733347E-2</v>
      </c>
      <c r="L153" s="71">
        <f t="shared" si="71"/>
        <v>2.3026781414361208E-2</v>
      </c>
      <c r="M153" s="71">
        <f t="shared" si="71"/>
        <v>2.0350161688638124E-2</v>
      </c>
      <c r="N153" s="2"/>
      <c r="O153" s="2"/>
      <c r="P153" s="42"/>
    </row>
    <row r="154" spans="1:16" ht="15.75">
      <c r="A154" s="41">
        <f t="shared" si="68"/>
        <v>4</v>
      </c>
      <c r="B154" s="34"/>
      <c r="C154" s="34"/>
      <c r="D154" s="34"/>
      <c r="E154" s="34"/>
      <c r="F154" s="71">
        <f t="shared" ref="F154:M154" si="72">IF(G116&gt;0,(1+$D$4)*(($D$11*G116+(1-$D$11)*G117)/(($D$11*G116+(1-$D$11)*G117)-((G116-G117)/((1+$D$9)-1/(1+$D$9))*($D$5-$D$4))))-1,"NA")</f>
        <v>6.12732834684655E-2</v>
      </c>
      <c r="G154" s="71">
        <f t="shared" si="72"/>
        <v>5.8787250846381811E-2</v>
      </c>
      <c r="H154" s="71">
        <f t="shared" si="72"/>
        <v>5.5857869400138371E-2</v>
      </c>
      <c r="I154" s="71">
        <f t="shared" si="72"/>
        <v>5.2365308257626975E-2</v>
      </c>
      <c r="J154" s="71">
        <f t="shared" si="72"/>
        <v>4.8150136210892702E-2</v>
      </c>
      <c r="K154" s="71">
        <f t="shared" si="72"/>
        <v>4.2902058067789239E-2</v>
      </c>
      <c r="L154" s="71">
        <f t="shared" si="72"/>
        <v>3.5026785911477232E-2</v>
      </c>
      <c r="M154" s="71">
        <f t="shared" si="72"/>
        <v>2.8195833056039676E-2</v>
      </c>
      <c r="N154" s="2"/>
      <c r="O154" s="2"/>
      <c r="P154" s="42"/>
    </row>
    <row r="155" spans="1:16" ht="15.75">
      <c r="A155" s="41">
        <f t="shared" si="68"/>
        <v>5</v>
      </c>
      <c r="B155" s="34"/>
      <c r="C155" s="34"/>
      <c r="D155" s="34"/>
      <c r="E155" s="34"/>
      <c r="F155" s="34"/>
      <c r="G155" s="71">
        <f t="shared" ref="G155:M155" si="73">IF(H117&gt;0,(1+$D$4)*(($D$11*H117+(1-$D$11)*H118)/(($D$11*H117+(1-$D$11)*H118)-((H117-H118)/((1+$D$9)-1/(1+$D$9))*($D$5-$D$4))))-1,"NA")</f>
        <v>7.4074986968562184E-2</v>
      </c>
      <c r="H155" s="71">
        <f t="shared" si="73"/>
        <v>7.2451270208641283E-2</v>
      </c>
      <c r="I155" s="71">
        <f t="shared" si="73"/>
        <v>7.0466668088239759E-2</v>
      </c>
      <c r="J155" s="71">
        <f t="shared" si="73"/>
        <v>6.7985823527324962E-2</v>
      </c>
      <c r="K155" s="71">
        <f t="shared" si="73"/>
        <v>6.4796016167371517E-2</v>
      </c>
      <c r="L155" s="71">
        <f t="shared" si="73"/>
        <v>6.0542677047950022E-2</v>
      </c>
      <c r="M155" s="71">
        <f t="shared" si="73"/>
        <v>5.3057170813419763E-2</v>
      </c>
      <c r="N155" s="2"/>
      <c r="O155" s="2"/>
      <c r="P155" s="42"/>
    </row>
    <row r="156" spans="1:16" ht="15.75">
      <c r="A156" s="41">
        <f t="shared" si="68"/>
        <v>6</v>
      </c>
      <c r="B156" s="34"/>
      <c r="C156" s="34"/>
      <c r="D156" s="34"/>
      <c r="E156" s="34"/>
      <c r="F156" s="34"/>
      <c r="G156" s="34"/>
      <c r="H156" s="71">
        <f t="shared" ref="H156:M156" si="74">IF(I118&gt;0,(1+$D$4)*(($D$11*I118+(1-$D$11)*I119)/(($D$11*I118+(1-$D$11)*I119)-((I118-I119)/((1+$D$9)-1/(1+$D$9))*($D$5-$D$4))))-1,"NA")</f>
        <v>9.0309748703761183E-2</v>
      </c>
      <c r="I156" s="71">
        <f t="shared" si="74"/>
        <v>9.0309748703761183E-2</v>
      </c>
      <c r="J156" s="71">
        <f t="shared" si="74"/>
        <v>9.0309748703761406E-2</v>
      </c>
      <c r="K156" s="71">
        <f t="shared" si="74"/>
        <v>9.0309748703761183E-2</v>
      </c>
      <c r="L156" s="71">
        <f t="shared" si="74"/>
        <v>9.0309748703761406E-2</v>
      </c>
      <c r="M156" s="71">
        <f t="shared" si="74"/>
        <v>9.0309748703761406E-2</v>
      </c>
      <c r="N156" s="2"/>
      <c r="O156" s="2"/>
      <c r="P156" s="42"/>
    </row>
    <row r="157" spans="1:16" ht="15.75">
      <c r="A157" s="41">
        <f t="shared" si="68"/>
        <v>7</v>
      </c>
      <c r="B157" s="34"/>
      <c r="C157" s="34"/>
      <c r="D157" s="34"/>
      <c r="E157" s="34"/>
      <c r="F157" s="34"/>
      <c r="G157" s="34"/>
      <c r="H157" s="34"/>
      <c r="I157" s="71" t="str">
        <f>IF(J119&gt;0,(1+$D$4)*(($D$11*J119+(1-$D$11)*J120)/(($D$11*J119+(1-$D$11)*J120)-((J119-J120)/((1+$D$9)-1/(1+$D$9))*($D$5-$D$4))))-1,"NA")</f>
        <v>NA</v>
      </c>
      <c r="J157" s="71" t="str">
        <f>IF(K119&gt;0,(1+$D$4)*(($D$11*K119+(1-$D$11)*K120)/(($D$11*K119+(1-$D$11)*K120)-((K119-K120)/((1+$D$9)-1/(1+$D$9))*($D$5-$D$4))))-1,"NA")</f>
        <v>NA</v>
      </c>
      <c r="K157" s="71" t="str">
        <f>IF(L119&gt;0,(1+$D$4)*(($D$11*L119+(1-$D$11)*L120)/(($D$11*L119+(1-$D$11)*L120)-((L119-L120)/((1+$D$9)-1/(1+$D$9))*($D$5-$D$4))))-1,"NA")</f>
        <v>NA</v>
      </c>
      <c r="L157" s="71" t="str">
        <f>IF(M119&gt;0,(1+$D$4)*(($D$11*M119+(1-$D$11)*M120)/(($D$11*M119+(1-$D$11)*M120)-((M119-M120)/((1+$D$9)-1/(1+$D$9))*($D$5-$D$4))))-1,"NA")</f>
        <v>NA</v>
      </c>
      <c r="M157" s="71" t="str">
        <f>IF(N119&gt;0,(1+$D$4)*(($D$11*N119+(1-$D$11)*N120)/(($D$11*N119+(1-$D$11)*N120)-((N119-N120)/((1+$D$9)-1/(1+$D$9))*($D$5-$D$4))))-1,"NA")</f>
        <v>NA</v>
      </c>
      <c r="N157" s="2"/>
      <c r="O157" s="2"/>
      <c r="P157" s="42"/>
    </row>
    <row r="158" spans="1:16" ht="15.75">
      <c r="A158" s="41">
        <f t="shared" si="68"/>
        <v>8</v>
      </c>
      <c r="B158" s="34"/>
      <c r="C158" s="34"/>
      <c r="D158" s="34"/>
      <c r="E158" s="34"/>
      <c r="F158" s="34"/>
      <c r="G158" s="34"/>
      <c r="H158" s="34"/>
      <c r="I158" s="34"/>
      <c r="J158" s="72" t="str">
        <f>IF(K120&gt;0,(1+$D$4)*(($D$11*K120+(1-$D$11)*K121)/(($D$11*K120+(1-$D$11)*K121)-((K120-K121)/((1+$D$9)-1/(1+$D$9))*($D$5-$D$4))))-1,"NA")</f>
        <v>NA</v>
      </c>
      <c r="K158" s="72" t="str">
        <f>IF(L120&gt;0,(1+$D$4)*(($D$11*L120+(1-$D$11)*L121)/(($D$11*L120+(1-$D$11)*L121)-((L120-L121)/((1+$D$9)-1/(1+$D$9))*($D$5-$D$4))))-1,"NA")</f>
        <v>NA</v>
      </c>
      <c r="L158" s="72" t="str">
        <f>IF(M120&gt;0,(1+$D$4)*(($D$11*M120+(1-$D$11)*M121)/(($D$11*M120+(1-$D$11)*M121)-((M120-M121)/((1+$D$9)-1/(1+$D$9))*($D$5-$D$4))))-1,"NA")</f>
        <v>NA</v>
      </c>
      <c r="M158" s="72" t="str">
        <f>IF(N120&gt;0,(1+$D$4)*(($D$11*N120+(1-$D$11)*N121)/(($D$11*N120+(1-$D$11)*N121)-((N120-N121)/((1+$D$9)-1/(1+$D$9))*($D$5-$D$4))))-1,"NA")</f>
        <v>NA</v>
      </c>
      <c r="N158" s="2"/>
      <c r="O158" s="2"/>
      <c r="P158" s="42"/>
    </row>
    <row r="159" spans="1:16" ht="15.75">
      <c r="A159" s="41">
        <f t="shared" si="68"/>
        <v>9</v>
      </c>
      <c r="B159" s="34"/>
      <c r="C159" s="34"/>
      <c r="D159" s="34"/>
      <c r="E159" s="34"/>
      <c r="F159" s="34"/>
      <c r="G159" s="34"/>
      <c r="H159" s="34"/>
      <c r="I159" s="34"/>
      <c r="J159" s="35"/>
      <c r="K159" s="72" t="str">
        <f>IF(L121&gt;0,(1+$D$4)*(($D$11*L121+(1-$D$11)*L122)/(($D$11*L121+(1-$D$11)*L122)-((L121-L122)/((1+$D$9)-1/(1+$D$9))*($D$5-$D$4))))-1,"NA")</f>
        <v>NA</v>
      </c>
      <c r="L159" s="72" t="str">
        <f>IF(M121&gt;0,(1+$D$4)*(($D$11*M121+(1-$D$11)*M122)/(($D$11*M121+(1-$D$11)*M122)-((M121-M122)/((1+$D$9)-1/(1+$D$9))*($D$5-$D$4))))-1,"NA")</f>
        <v>NA</v>
      </c>
      <c r="M159" s="72" t="str">
        <f>IF(N121&gt;0,(1+$D$4)*(($D$11*N121+(1-$D$11)*N122)/(($D$11*N121+(1-$D$11)*N122)-((N121-N122)/((1+$D$9)-1/(1+$D$9))*($D$5-$D$4))))-1,"NA")</f>
        <v>NA</v>
      </c>
      <c r="N159" s="2"/>
      <c r="O159" s="2"/>
      <c r="P159" s="42"/>
    </row>
    <row r="160" spans="1:16" ht="15.75">
      <c r="A160" s="41">
        <f t="shared" si="68"/>
        <v>10</v>
      </c>
      <c r="B160" s="34"/>
      <c r="C160" s="34"/>
      <c r="D160" s="34"/>
      <c r="E160" s="34"/>
      <c r="F160" s="34"/>
      <c r="G160" s="34"/>
      <c r="H160" s="34"/>
      <c r="I160" s="34"/>
      <c r="J160" s="35"/>
      <c r="K160" s="35"/>
      <c r="L160" s="72" t="str">
        <f>IF(M122&gt;0,(1+$D$4)*(($D$11*M122+(1-$D$11)*M123)/(($D$11*M122+(1-$D$11)*M123)-((M122-M123)/((1+$D$9)-1/(1+$D$9))*($D$5-$D$4))))-1,"NA")</f>
        <v>NA</v>
      </c>
      <c r="M160" s="72" t="str">
        <f>IF(N122&gt;0,(1+$D$4)*(($D$11*N122+(1-$D$11)*N123)/(($D$11*N122+(1-$D$11)*N123)-((N122-N123)/((1+$D$9)-1/(1+$D$9))*($D$5-$D$4))))-1,"NA")</f>
        <v>NA</v>
      </c>
      <c r="N160" s="2"/>
      <c r="O160" s="2"/>
      <c r="P160" s="42"/>
    </row>
    <row r="161" spans="1:16" ht="15.75">
      <c r="A161" s="41">
        <f t="shared" si="68"/>
        <v>11</v>
      </c>
      <c r="B161" s="34"/>
      <c r="C161" s="34"/>
      <c r="D161" s="34"/>
      <c r="E161" s="34"/>
      <c r="F161" s="34"/>
      <c r="G161" s="34"/>
      <c r="H161" s="34"/>
      <c r="I161" s="34"/>
      <c r="J161" s="35"/>
      <c r="K161" s="35"/>
      <c r="L161" s="35"/>
      <c r="M161" s="72" t="str">
        <f>IF(N123&gt;0,(1+$D$4)*(($D$11*N123+(1-$D$11)*N124)/(($D$11*N123+(1-$D$11)*N124)-((N123-N124)/((1+$D$9)-1/(1+$D$9))*($D$5-$D$4))))-1,"NA")</f>
        <v>NA</v>
      </c>
      <c r="N161" s="2"/>
      <c r="O161" s="2"/>
      <c r="P161" s="42"/>
    </row>
    <row r="162" spans="1:16" ht="15.75">
      <c r="A162" s="41">
        <f t="shared" si="68"/>
        <v>12</v>
      </c>
      <c r="N162" s="2"/>
      <c r="O162" s="2"/>
      <c r="P162" s="42"/>
    </row>
    <row r="164" spans="1:16" ht="15.75">
      <c r="B164" s="34" t="s">
        <v>51</v>
      </c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1:16" ht="15.75">
      <c r="A165" s="163" t="s">
        <v>133</v>
      </c>
      <c r="B165" s="34">
        <v>0</v>
      </c>
      <c r="C165" s="34">
        <v>1</v>
      </c>
      <c r="D165" s="34">
        <v>2</v>
      </c>
      <c r="E165" s="34">
        <v>3</v>
      </c>
      <c r="F165" s="34">
        <v>4</v>
      </c>
      <c r="G165" s="34">
        <v>5</v>
      </c>
      <c r="H165" s="34">
        <v>6</v>
      </c>
      <c r="I165" s="34">
        <v>7</v>
      </c>
      <c r="J165" s="34">
        <v>8</v>
      </c>
      <c r="K165" s="34">
        <v>9</v>
      </c>
      <c r="L165" s="34">
        <v>10</v>
      </c>
      <c r="M165" s="34">
        <v>11</v>
      </c>
    </row>
    <row r="166" spans="1:16" ht="15.75">
      <c r="A166" s="41" t="s">
        <v>53</v>
      </c>
      <c r="B166" s="34" t="s">
        <v>48</v>
      </c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1:16" ht="15.75">
      <c r="A167" s="41">
        <v>0</v>
      </c>
      <c r="B167" s="73">
        <f t="shared" ref="B167:M167" si="75">IF(C112&gt;0,(1+B150)^(1/$B$3)-1,"NA")</f>
        <v>0.48059652558175947</v>
      </c>
      <c r="C167" s="73">
        <f t="shared" si="75"/>
        <v>0.4437965551574623</v>
      </c>
      <c r="D167" s="73">
        <f t="shared" si="75"/>
        <v>0.38760683775939131</v>
      </c>
      <c r="E167" s="73">
        <f t="shared" si="75"/>
        <v>0.32402115212425908</v>
      </c>
      <c r="F167" s="73">
        <f t="shared" si="75"/>
        <v>0.28033710639842524</v>
      </c>
      <c r="G167" s="73">
        <f t="shared" si="75"/>
        <v>0.2493093384080689</v>
      </c>
      <c r="H167" s="73">
        <f t="shared" si="75"/>
        <v>0.22616464921073254</v>
      </c>
      <c r="I167" s="73">
        <f t="shared" si="75"/>
        <v>0.20825974460388608</v>
      </c>
      <c r="J167" s="73">
        <f t="shared" si="75"/>
        <v>0.19401327793315493</v>
      </c>
      <c r="K167" s="73">
        <f t="shared" si="75"/>
        <v>0.18242154624502405</v>
      </c>
      <c r="L167" s="73">
        <f t="shared" si="75"/>
        <v>0.17281694077055665</v>
      </c>
      <c r="M167" s="73">
        <f t="shared" si="75"/>
        <v>0.16473819696316583</v>
      </c>
    </row>
    <row r="168" spans="1:16" ht="15.75">
      <c r="A168" s="41">
        <f t="shared" ref="A168:A179" si="76">1+A167</f>
        <v>1</v>
      </c>
      <c r="B168" s="74"/>
      <c r="C168" s="73">
        <f t="shared" ref="C168:M168" si="77">IF(D113&gt;0,(1+C151)^(1/$B$3)-1,"NA")</f>
        <v>0.56182480901939535</v>
      </c>
      <c r="D168" s="73">
        <f t="shared" si="77"/>
        <v>0.51794120638035968</v>
      </c>
      <c r="E168" s="73">
        <f t="shared" si="77"/>
        <v>0.47404961846487503</v>
      </c>
      <c r="F168" s="73">
        <f t="shared" si="77"/>
        <v>0.41016368882715737</v>
      </c>
      <c r="G168" s="73">
        <f t="shared" si="77"/>
        <v>0.33893188593382884</v>
      </c>
      <c r="H168" s="73">
        <f t="shared" si="77"/>
        <v>0.29053575228714457</v>
      </c>
      <c r="I168" s="73">
        <f t="shared" si="77"/>
        <v>0.2567115718760693</v>
      </c>
      <c r="J168" s="73">
        <f t="shared" si="77"/>
        <v>0.23177365040427356</v>
      </c>
      <c r="K168" s="73">
        <f t="shared" si="77"/>
        <v>0.21265089637219692</v>
      </c>
      <c r="L168" s="73">
        <f t="shared" si="77"/>
        <v>0.19753994704178335</v>
      </c>
      <c r="M168" s="73">
        <f t="shared" si="77"/>
        <v>0.1853126298544272</v>
      </c>
    </row>
    <row r="169" spans="1:16" ht="15.75">
      <c r="A169" s="41">
        <f t="shared" si="76"/>
        <v>2</v>
      </c>
      <c r="B169" s="74"/>
      <c r="C169" s="74"/>
      <c r="D169" s="73">
        <f t="shared" ref="D169:M169" si="78">IF(E114&gt;0,(1+D152)^(1/$B$3)-1,"NA")</f>
        <v>0.67211861717686072</v>
      </c>
      <c r="E169" s="73">
        <f t="shared" si="78"/>
        <v>0.62117529204335553</v>
      </c>
      <c r="F169" s="73">
        <f t="shared" si="78"/>
        <v>0.56821529873104448</v>
      </c>
      <c r="G169" s="73">
        <f t="shared" si="78"/>
        <v>0.51419086214879006</v>
      </c>
      <c r="H169" s="73">
        <f t="shared" si="78"/>
        <v>0.4382123635080184</v>
      </c>
      <c r="I169" s="73">
        <f t="shared" si="78"/>
        <v>0.35566166880278427</v>
      </c>
      <c r="J169" s="73">
        <f t="shared" si="78"/>
        <v>0.30175282981360585</v>
      </c>
      <c r="K169" s="73">
        <f t="shared" si="78"/>
        <v>0.26473989337336734</v>
      </c>
      <c r="L169" s="73">
        <f t="shared" si="78"/>
        <v>0.23779446664489678</v>
      </c>
      <c r="M169" s="73">
        <f t="shared" si="78"/>
        <v>0.21732713616599808</v>
      </c>
    </row>
    <row r="170" spans="1:16" ht="15.75">
      <c r="A170" s="41">
        <f t="shared" si="76"/>
        <v>3</v>
      </c>
      <c r="B170" s="74"/>
      <c r="C170" s="74"/>
      <c r="D170" s="74"/>
      <c r="E170" s="73">
        <f t="shared" ref="E170:M170" si="79">IF(F115&gt;0,(1+E153)^(1/$B$3)-1,"NA")</f>
        <v>0.82472958208289682</v>
      </c>
      <c r="F170" s="73">
        <f t="shared" si="79"/>
        <v>0.76822869088751178</v>
      </c>
      <c r="G170" s="73">
        <f t="shared" si="79"/>
        <v>0.70676327154991903</v>
      </c>
      <c r="H170" s="73">
        <f t="shared" si="79"/>
        <v>0.64048629060012696</v>
      </c>
      <c r="I170" s="73">
        <f t="shared" si="79"/>
        <v>0.57028986039786211</v>
      </c>
      <c r="J170" s="73">
        <f t="shared" si="79"/>
        <v>0.4734021522780032</v>
      </c>
      <c r="K170" s="73">
        <f t="shared" si="79"/>
        <v>0.37456167591866496</v>
      </c>
      <c r="L170" s="73">
        <f t="shared" si="79"/>
        <v>0.31414726947717853</v>
      </c>
      <c r="M170" s="73">
        <f t="shared" si="79"/>
        <v>0.27347625510674689</v>
      </c>
    </row>
    <row r="171" spans="1:16" ht="15.75">
      <c r="A171" s="41">
        <f t="shared" si="76"/>
        <v>4</v>
      </c>
      <c r="B171" s="74"/>
      <c r="C171" s="74"/>
      <c r="D171" s="74"/>
      <c r="E171" s="74"/>
      <c r="F171" s="73">
        <f t="shared" ref="F171:M171" si="80">IF(G116&gt;0,(1+F154)^(1/$B$3)-1,"NA")</f>
        <v>1.0413937325324176</v>
      </c>
      <c r="G171" s="73">
        <f t="shared" si="80"/>
        <v>0.9847437288708345</v>
      </c>
      <c r="H171" s="73">
        <f t="shared" si="80"/>
        <v>0.91984219825629121</v>
      </c>
      <c r="I171" s="73">
        <f t="shared" si="80"/>
        <v>0.84500809090799933</v>
      </c>
      <c r="J171" s="73">
        <f t="shared" si="80"/>
        <v>0.7582553246404391</v>
      </c>
      <c r="K171" s="73">
        <f t="shared" si="80"/>
        <v>0.65547373175183288</v>
      </c>
      <c r="L171" s="73">
        <f t="shared" si="80"/>
        <v>0.5115380035849042</v>
      </c>
      <c r="M171" s="73">
        <f t="shared" si="80"/>
        <v>0.39607925501904351</v>
      </c>
    </row>
    <row r="172" spans="1:16" ht="15.75">
      <c r="A172" s="41">
        <f t="shared" si="76"/>
        <v>5</v>
      </c>
      <c r="B172" s="74"/>
      <c r="C172" s="74"/>
      <c r="D172" s="74"/>
      <c r="E172" s="74"/>
      <c r="F172" s="74"/>
      <c r="G172" s="73">
        <f t="shared" ref="G172:M172" si="81">IF(H117&gt;0,(1+G155)^(1/$B$3)-1,"NA")</f>
        <v>1.3573020525505894</v>
      </c>
      <c r="H172" s="73">
        <f t="shared" si="81"/>
        <v>1.3148924325068583</v>
      </c>
      <c r="I172" s="73">
        <f t="shared" si="81"/>
        <v>1.2640071116405158</v>
      </c>
      <c r="J172" s="73">
        <f t="shared" si="81"/>
        <v>1.201840494853835</v>
      </c>
      <c r="K172" s="73">
        <f t="shared" si="81"/>
        <v>1.1242078585128636</v>
      </c>
      <c r="L172" s="73">
        <f t="shared" si="81"/>
        <v>1.0245932965140541</v>
      </c>
      <c r="M172" s="73">
        <f t="shared" si="81"/>
        <v>0.85961652920821696</v>
      </c>
    </row>
    <row r="173" spans="1:16" ht="15.75">
      <c r="A173" s="41">
        <f t="shared" si="76"/>
        <v>6</v>
      </c>
      <c r="B173" s="74"/>
      <c r="C173" s="74"/>
      <c r="D173" s="74"/>
      <c r="E173" s="74"/>
      <c r="F173" s="74"/>
      <c r="G173" s="74"/>
      <c r="H173" s="73">
        <f t="shared" ref="H173:M173" si="82">IF(I118&gt;0,(1+H156)^(1/$B$3)-1,"NA")</f>
        <v>1.8222711917093641</v>
      </c>
      <c r="I173" s="73">
        <f t="shared" si="82"/>
        <v>1.8222711917093641</v>
      </c>
      <c r="J173" s="73">
        <f t="shared" si="82"/>
        <v>1.8222711917093708</v>
      </c>
      <c r="K173" s="73">
        <f t="shared" si="82"/>
        <v>1.8222711917093641</v>
      </c>
      <c r="L173" s="73">
        <f t="shared" si="82"/>
        <v>1.8222711917093708</v>
      </c>
      <c r="M173" s="73">
        <f t="shared" si="82"/>
        <v>1.8222711917093708</v>
      </c>
    </row>
    <row r="174" spans="1:16" ht="15.75">
      <c r="A174" s="41">
        <f t="shared" si="76"/>
        <v>7</v>
      </c>
      <c r="B174" s="74"/>
      <c r="C174" s="74"/>
      <c r="D174" s="74"/>
      <c r="E174" s="74"/>
      <c r="F174" s="74"/>
      <c r="G174" s="74"/>
      <c r="H174" s="74"/>
      <c r="I174" s="73" t="str">
        <f>IF(J119&gt;0,(1+I157)^(1/$B$3)-1,"NA")</f>
        <v>NA</v>
      </c>
      <c r="J174" s="73" t="str">
        <f>IF(K119&gt;0,(1+J157)^(1/$B$3)-1,"NA")</f>
        <v>NA</v>
      </c>
      <c r="K174" s="73" t="str">
        <f>IF(L119&gt;0,(1+K157)^(1/$B$3)-1,"NA")</f>
        <v>NA</v>
      </c>
      <c r="L174" s="73" t="str">
        <f>IF(M119&gt;0,(1+L157)^(1/$B$3)-1,"NA")</f>
        <v>NA</v>
      </c>
      <c r="M174" s="73" t="str">
        <f>IF(N119&gt;0,(1+M157)^(1/$B$3)-1,"NA")</f>
        <v>NA</v>
      </c>
    </row>
    <row r="175" spans="1:16" ht="15.75">
      <c r="A175" s="41">
        <f t="shared" si="76"/>
        <v>8</v>
      </c>
      <c r="B175" s="74"/>
      <c r="C175" s="74"/>
      <c r="D175" s="74"/>
      <c r="E175" s="74"/>
      <c r="F175" s="74"/>
      <c r="G175" s="74"/>
      <c r="H175" s="74"/>
      <c r="I175" s="74"/>
      <c r="J175" s="73" t="str">
        <f>IF(K120&gt;0,(1+J158)^(1/$B$3)-1,"NA")</f>
        <v>NA</v>
      </c>
      <c r="K175" s="73" t="str">
        <f>IF(L120&gt;0,(1+K158)^(1/$B$3)-1,"NA")</f>
        <v>NA</v>
      </c>
      <c r="L175" s="73" t="str">
        <f>IF(M120&gt;0,(1+L158)^(1/$B$3)-1,"NA")</f>
        <v>NA</v>
      </c>
      <c r="M175" s="73" t="str">
        <f>IF(N120&gt;0,(1+M158)^(1/$B$3)-1,"NA")</f>
        <v>NA</v>
      </c>
    </row>
    <row r="176" spans="1:16" ht="15.75">
      <c r="A176" s="41">
        <f t="shared" si="76"/>
        <v>9</v>
      </c>
      <c r="B176" s="74"/>
      <c r="C176" s="74"/>
      <c r="D176" s="74"/>
      <c r="E176" s="74"/>
      <c r="F176" s="74"/>
      <c r="G176" s="74"/>
      <c r="H176" s="74"/>
      <c r="I176" s="74"/>
      <c r="J176" s="74"/>
      <c r="K176" s="73" t="str">
        <f>IF(L121&gt;0,(1+K159)^(1/$B$3)-1,"NA")</f>
        <v>NA</v>
      </c>
      <c r="L176" s="73" t="str">
        <f>IF(M121&gt;0,(1+L159)^(1/$B$3)-1,"NA")</f>
        <v>NA</v>
      </c>
      <c r="M176" s="73" t="str">
        <f>IF(N121&gt;0,(1+M159)^(1/$B$3)-1,"NA")</f>
        <v>NA</v>
      </c>
    </row>
    <row r="177" spans="1:14" ht="15.75">
      <c r="A177" s="41">
        <f t="shared" si="76"/>
        <v>10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3" t="str">
        <f>IF(M122&gt;0,(1+L160)^(1/$B$3)-1,"NA")</f>
        <v>NA</v>
      </c>
      <c r="M177" s="73" t="str">
        <f>IF(N122&gt;0,(1+M160)^(1/$B$3)-1,"NA")</f>
        <v>NA</v>
      </c>
    </row>
    <row r="178" spans="1:14" ht="15.75">
      <c r="A178" s="41">
        <f t="shared" si="76"/>
        <v>11</v>
      </c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3" t="str">
        <f>IF(N123&gt;0,(1+M161)^(1/$B$3)-1,"NA")</f>
        <v>NA</v>
      </c>
    </row>
    <row r="179" spans="1:14" ht="15.75">
      <c r="A179" s="41">
        <f t="shared" si="76"/>
        <v>12</v>
      </c>
    </row>
    <row r="181" spans="1:14" ht="15.75">
      <c r="A181" s="163" t="s">
        <v>134</v>
      </c>
    </row>
    <row r="182" spans="1:14" ht="15.75">
      <c r="A182" s="34"/>
      <c r="B182" s="34" t="s">
        <v>175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</row>
    <row r="183" spans="1:14" ht="15.75">
      <c r="A183" s="35" t="str">
        <f t="shared" ref="A183:N183" si="83">A23</f>
        <v>Period ("j"):</v>
      </c>
      <c r="B183" s="34">
        <f t="shared" si="83"/>
        <v>0</v>
      </c>
      <c r="C183" s="34">
        <f t="shared" si="83"/>
        <v>1</v>
      </c>
      <c r="D183" s="34">
        <f t="shared" si="83"/>
        <v>2</v>
      </c>
      <c r="E183" s="34">
        <f t="shared" si="83"/>
        <v>3</v>
      </c>
      <c r="F183" s="34">
        <f t="shared" si="83"/>
        <v>4</v>
      </c>
      <c r="G183" s="34">
        <f t="shared" si="83"/>
        <v>5</v>
      </c>
      <c r="H183" s="34">
        <f t="shared" si="83"/>
        <v>6</v>
      </c>
      <c r="I183" s="34">
        <f t="shared" si="83"/>
        <v>7</v>
      </c>
      <c r="J183" s="34">
        <f t="shared" si="83"/>
        <v>8</v>
      </c>
      <c r="K183" s="34">
        <f t="shared" si="83"/>
        <v>9</v>
      </c>
      <c r="L183" s="34">
        <f t="shared" si="83"/>
        <v>10</v>
      </c>
      <c r="M183" s="34">
        <f t="shared" si="83"/>
        <v>11</v>
      </c>
      <c r="N183" s="35" t="str">
        <f t="shared" si="83"/>
        <v>n = 12</v>
      </c>
    </row>
    <row r="184" spans="1:14" ht="15.75">
      <c r="A184" s="41" t="str">
        <f t="shared" ref="A184:A197" si="84">A24</f>
        <v>"down" moves ("i"):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</row>
    <row r="185" spans="1:14" ht="15.75">
      <c r="A185" s="41">
        <f t="shared" si="84"/>
        <v>0</v>
      </c>
      <c r="B185" s="43">
        <f t="shared" ref="B185:N185" si="85">B25/(1+$D$6)^$B$8</f>
        <v>91.413615988192646</v>
      </c>
      <c r="C185" s="43">
        <f t="shared" si="85"/>
        <v>96.210331908488229</v>
      </c>
      <c r="D185" s="43">
        <f t="shared" si="85"/>
        <v>101.25874428965882</v>
      </c>
      <c r="E185" s="43">
        <f t="shared" si="85"/>
        <v>106.57206031542549</v>
      </c>
      <c r="F185" s="43">
        <f t="shared" si="85"/>
        <v>112.16418018561779</v>
      </c>
      <c r="G185" s="43">
        <f t="shared" si="85"/>
        <v>118.04973348057494</v>
      </c>
      <c r="H185" s="43">
        <f t="shared" si="85"/>
        <v>124.24411743368388</v>
      </c>
      <c r="I185" s="43">
        <f t="shared" si="85"/>
        <v>130.76353721217947</v>
      </c>
      <c r="J185" s="43">
        <f t="shared" si="85"/>
        <v>137.62504831158549</v>
      </c>
      <c r="K185" s="43">
        <f t="shared" si="85"/>
        <v>144.84660117470489</v>
      </c>
      <c r="L185" s="43">
        <f t="shared" si="85"/>
        <v>152.44708815188727</v>
      </c>
      <c r="M185" s="43">
        <f t="shared" si="85"/>
        <v>160.44639292542681</v>
      </c>
      <c r="N185" s="43">
        <f t="shared" si="85"/>
        <v>168.86544252738983</v>
      </c>
    </row>
    <row r="186" spans="1:14" ht="15.75">
      <c r="A186" s="41">
        <f t="shared" si="84"/>
        <v>1</v>
      </c>
      <c r="B186" s="43"/>
      <c r="C186" s="43">
        <f t="shared" ref="C186:N186" si="86">C26/(1+$D$6)^$B$8</f>
        <v>85.993958377032556</v>
      </c>
      <c r="D186" s="43">
        <f t="shared" si="86"/>
        <v>90.506290426665359</v>
      </c>
      <c r="E186" s="43">
        <f t="shared" si="86"/>
        <v>95.255396557994359</v>
      </c>
      <c r="F186" s="43">
        <f t="shared" si="86"/>
        <v>100.25370093775783</v>
      </c>
      <c r="G186" s="43">
        <f t="shared" si="86"/>
        <v>105.51427966181582</v>
      </c>
      <c r="H186" s="43">
        <f t="shared" si="86"/>
        <v>111.05089496360767</v>
      </c>
      <c r="I186" s="43">
        <f t="shared" si="86"/>
        <v>116.87803121761837</v>
      </c>
      <c r="J186" s="43">
        <f t="shared" si="86"/>
        <v>123.0109328320427</v>
      </c>
      <c r="K186" s="43">
        <f t="shared" si="86"/>
        <v>129.46564412977847</v>
      </c>
      <c r="L186" s="43">
        <f t="shared" si="86"/>
        <v>136.25905132208166</v>
      </c>
      <c r="M186" s="43">
        <f t="shared" si="86"/>
        <v>143.4089266846909</v>
      </c>
      <c r="N186" s="43">
        <f t="shared" si="86"/>
        <v>150.9339750519911</v>
      </c>
    </row>
    <row r="187" spans="1:14" ht="15.75">
      <c r="A187" s="41">
        <f t="shared" si="84"/>
        <v>2</v>
      </c>
      <c r="B187" s="43"/>
      <c r="C187" s="43"/>
      <c r="D187" s="43">
        <f t="shared" ref="D187:N187" si="87">D27/(1+$D$6)^$B$8</f>
        <v>80.89561710703984</v>
      </c>
      <c r="E187" s="43">
        <f t="shared" si="87"/>
        <v>85.140425610289427</v>
      </c>
      <c r="F187" s="43">
        <f t="shared" si="87"/>
        <v>89.607970522180523</v>
      </c>
      <c r="G187" s="43">
        <f t="shared" si="87"/>
        <v>94.309939415355444</v>
      </c>
      <c r="H187" s="43">
        <f t="shared" si="87"/>
        <v>99.258633140524097</v>
      </c>
      <c r="I187" s="43">
        <f t="shared" si="87"/>
        <v>104.46699800679771</v>
      </c>
      <c r="J187" s="43">
        <f t="shared" si="87"/>
        <v>109.94865965061034</v>
      </c>
      <c r="K187" s="43">
        <f t="shared" si="87"/>
        <v>115.71795868183303</v>
      </c>
      <c r="L187" s="43">
        <f t="shared" si="87"/>
        <v>121.78998820033435</v>
      </c>
      <c r="M187" s="43">
        <f t="shared" si="87"/>
        <v>128.18063328113513</v>
      </c>
      <c r="N187" s="43">
        <f t="shared" si="87"/>
        <v>134.90661253145387</v>
      </c>
    </row>
    <row r="188" spans="1:14" ht="15.75">
      <c r="A188" s="41">
        <f t="shared" si="84"/>
        <v>3</v>
      </c>
      <c r="B188" s="43"/>
      <c r="C188" s="43"/>
      <c r="D188" s="43"/>
      <c r="E188" s="43">
        <f t="shared" ref="E188:N188" si="88">E28/(1+$D$6)^$B$8</f>
        <v>76.099542231057583</v>
      </c>
      <c r="F188" s="43">
        <f t="shared" si="88"/>
        <v>80.092687910734753</v>
      </c>
      <c r="G188" s="43">
        <f t="shared" si="88"/>
        <v>84.295364580371228</v>
      </c>
      <c r="H188" s="43">
        <f t="shared" si="88"/>
        <v>88.718566889117142</v>
      </c>
      <c r="I188" s="43">
        <f t="shared" si="88"/>
        <v>93.373866404648865</v>
      </c>
      <c r="J188" s="43">
        <f t="shared" si="88"/>
        <v>98.273441885620798</v>
      </c>
      <c r="K188" s="43">
        <f t="shared" si="88"/>
        <v>103.43011114259326</v>
      </c>
      <c r="L188" s="43">
        <f t="shared" si="88"/>
        <v>108.85736457078822</v>
      </c>
      <c r="M188" s="43">
        <f t="shared" si="88"/>
        <v>114.56940044239799</v>
      </c>
      <c r="N188" s="43">
        <f t="shared" si="88"/>
        <v>120.58116205077539</v>
      </c>
    </row>
    <row r="189" spans="1:14" ht="15.75">
      <c r="A189" s="41">
        <f t="shared" si="84"/>
        <v>4</v>
      </c>
      <c r="B189" s="43"/>
      <c r="C189" s="43"/>
      <c r="D189" s="43"/>
      <c r="E189" s="43"/>
      <c r="F189" s="43">
        <f t="shared" ref="F189:N189" si="89">F29/(1+$D$6)^$B$8</f>
        <v>71.587813220013743</v>
      </c>
      <c r="G189" s="43">
        <f t="shared" si="89"/>
        <v>75.344216461035714</v>
      </c>
      <c r="H189" s="43">
        <f t="shared" si="89"/>
        <v>79.297728185673392</v>
      </c>
      <c r="I189" s="43">
        <f t="shared" si="89"/>
        <v>83.458691201080427</v>
      </c>
      <c r="J189" s="43">
        <f t="shared" si="89"/>
        <v>87.83799102905094</v>
      </c>
      <c r="K189" s="43">
        <f t="shared" si="89"/>
        <v>92.44708438370229</v>
      </c>
      <c r="L189" s="43">
        <f t="shared" si="89"/>
        <v>97.298029143457669</v>
      </c>
      <c r="M189" s="43">
        <f t="shared" si="89"/>
        <v>102.40351589573849</v>
      </c>
      <c r="N189" s="43">
        <f t="shared" si="89"/>
        <v>107.7769011368909</v>
      </c>
    </row>
    <row r="190" spans="1:14" ht="15.75">
      <c r="A190" s="41">
        <f t="shared" si="84"/>
        <v>5</v>
      </c>
      <c r="B190" s="43"/>
      <c r="C190" s="43"/>
      <c r="D190" s="43"/>
      <c r="E190" s="43"/>
      <c r="F190" s="43"/>
      <c r="G190" s="43">
        <f t="shared" ref="G190:N190" si="90">G30/(1+$D$6)^$B$8</f>
        <v>67.343572002881857</v>
      </c>
      <c r="H190" s="43">
        <f t="shared" si="90"/>
        <v>70.877268602275947</v>
      </c>
      <c r="I190" s="43">
        <f t="shared" si="90"/>
        <v>74.596387674597906</v>
      </c>
      <c r="J190" s="43">
        <f t="shared" si="90"/>
        <v>78.510658830893718</v>
      </c>
      <c r="K190" s="43">
        <f t="shared" si="90"/>
        <v>82.630322220816751</v>
      </c>
      <c r="L190" s="43">
        <f t="shared" si="90"/>
        <v>86.966155321948449</v>
      </c>
      <c r="M190" s="43">
        <f t="shared" si="90"/>
        <v>91.529501134825708</v>
      </c>
      <c r="N190" s="43">
        <f t="shared" si="90"/>
        <v>96.332297857436885</v>
      </c>
    </row>
    <row r="191" spans="1:14" ht="15.75">
      <c r="A191" s="41">
        <f t="shared" si="84"/>
        <v>6</v>
      </c>
      <c r="B191" s="43"/>
      <c r="C191" s="43"/>
      <c r="D191" s="43"/>
      <c r="E191" s="43"/>
      <c r="F191" s="43"/>
      <c r="G191" s="43"/>
      <c r="H191" s="43">
        <f t="shared" ref="H191:N191" si="91">H31/(1+$D$6)^$B$8</f>
        <v>63.350959976515135</v>
      </c>
      <c r="I191" s="43">
        <f t="shared" si="91"/>
        <v>66.675153588160555</v>
      </c>
      <c r="J191" s="43">
        <f t="shared" si="91"/>
        <v>70.173776492934309</v>
      </c>
      <c r="K191" s="43">
        <f t="shared" si="91"/>
        <v>73.855981460456846</v>
      </c>
      <c r="L191" s="43">
        <f t="shared" si="91"/>
        <v>77.731401530549959</v>
      </c>
      <c r="M191" s="43">
        <f t="shared" si="91"/>
        <v>81.810175214293508</v>
      </c>
      <c r="N191" s="43">
        <f t="shared" si="91"/>
        <v>86.102973017448562</v>
      </c>
    </row>
    <row r="192" spans="1:14" ht="15.75">
      <c r="A192" s="41">
        <f t="shared" si="84"/>
        <v>7</v>
      </c>
      <c r="B192" s="43"/>
      <c r="C192" s="43"/>
      <c r="D192" s="43"/>
      <c r="E192" s="43"/>
      <c r="F192" s="43"/>
      <c r="G192" s="43"/>
      <c r="H192" s="43"/>
      <c r="I192" s="43">
        <f t="shared" ref="I192:N192" si="92">I32/(1+$D$6)^$B$8</f>
        <v>59.595058749991438</v>
      </c>
      <c r="J192" s="43">
        <f t="shared" si="92"/>
        <v>62.72217022005907</v>
      </c>
      <c r="K192" s="43">
        <f t="shared" si="92"/>
        <v>66.01336955833824</v>
      </c>
      <c r="L192" s="43">
        <f t="shared" si="92"/>
        <v>69.477266892338648</v>
      </c>
      <c r="M192" s="43">
        <f t="shared" si="92"/>
        <v>73.12292414589426</v>
      </c>
      <c r="N192" s="43">
        <f t="shared" si="92"/>
        <v>76.959878746120154</v>
      </c>
    </row>
    <row r="193" spans="1:14" ht="15.75">
      <c r="A193" s="41">
        <f t="shared" si="84"/>
        <v>8</v>
      </c>
      <c r="B193" s="43"/>
      <c r="C193" s="43"/>
      <c r="D193" s="43"/>
      <c r="E193" s="43"/>
      <c r="F193" s="43"/>
      <c r="G193" s="43"/>
      <c r="H193" s="43"/>
      <c r="I193" s="43"/>
      <c r="J193" s="43">
        <f>J33/(1+$D$6)^$B$8</f>
        <v>56.061834402060143</v>
      </c>
      <c r="K193" s="43">
        <f>K33/(1+$D$6)^$B$8</f>
        <v>59.003548179492057</v>
      </c>
      <c r="L193" s="43">
        <f>L33/(1+$D$6)^$B$8</f>
        <v>62.099621514377453</v>
      </c>
      <c r="M193" s="43">
        <f>M33/(1+$D$6)^$B$8</f>
        <v>65.35815406384819</v>
      </c>
      <c r="N193" s="43">
        <f>N33/(1+$D$6)^$B$8</f>
        <v>68.787670495620048</v>
      </c>
    </row>
    <row r="194" spans="1:14" ht="15.75">
      <c r="A194" s="41">
        <f t="shared" si="84"/>
        <v>9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>
        <f>K34/(1+$D$6)^$B$8</f>
        <v>52.738085043409164</v>
      </c>
      <c r="L194" s="43">
        <f>L34/(1+$D$6)^$B$8</f>
        <v>55.505392838850689</v>
      </c>
      <c r="M194" s="43">
        <f>M34/(1+$D$6)^$B$8</f>
        <v>58.417908645322711</v>
      </c>
      <c r="N194" s="43">
        <f>N34/(1+$D$6)^$B$8</f>
        <v>61.483251913940236</v>
      </c>
    </row>
    <row r="195" spans="1:14" ht="15.75">
      <c r="A195" s="41">
        <f t="shared" si="84"/>
        <v>10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>
        <f>L35/(1+$D$6)^$B$8</f>
        <v>49.611391487818516</v>
      </c>
      <c r="M195" s="43">
        <f>M35/(1+$D$6)^$B$8</f>
        <v>52.214633344134249</v>
      </c>
      <c r="N195" s="43">
        <f>N35/(1+$D$6)^$B$8</f>
        <v>54.954474234648352</v>
      </c>
    </row>
    <row r="196" spans="1:14" ht="15.75">
      <c r="A196" s="41">
        <f t="shared" si="84"/>
        <v>11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>
        <f>M36/(1+$D$6)^$B$8</f>
        <v>46.670070847883132</v>
      </c>
      <c r="N196" s="43">
        <f>N36/(1+$D$6)^$B$8</f>
        <v>49.118973775716974</v>
      </c>
    </row>
    <row r="197" spans="1:14" ht="15.75">
      <c r="A197" s="41">
        <f t="shared" si="84"/>
        <v>12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>
        <f>N37/(1+$D$6)^$B$8</f>
        <v>43.903132881915553</v>
      </c>
    </row>
    <row r="198" spans="1:14" ht="15.7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</row>
    <row r="199" spans="1:14" ht="15.75">
      <c r="A199" s="163" t="s">
        <v>135</v>
      </c>
    </row>
    <row r="200" spans="1:14" ht="15.75">
      <c r="A200" s="34"/>
      <c r="B200" s="34" t="s">
        <v>83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</row>
    <row r="201" spans="1:14" ht="15.75">
      <c r="A201" s="35" t="str">
        <f t="shared" ref="A201:N201" si="93">A183</f>
        <v>Period ("j"):</v>
      </c>
      <c r="B201" s="34">
        <f t="shared" si="93"/>
        <v>0</v>
      </c>
      <c r="C201" s="34">
        <f t="shared" si="93"/>
        <v>1</v>
      </c>
      <c r="D201" s="34">
        <f t="shared" si="93"/>
        <v>2</v>
      </c>
      <c r="E201" s="34">
        <f t="shared" si="93"/>
        <v>3</v>
      </c>
      <c r="F201" s="34">
        <f t="shared" si="93"/>
        <v>4</v>
      </c>
      <c r="G201" s="34">
        <f t="shared" si="93"/>
        <v>5</v>
      </c>
      <c r="H201" s="34">
        <f t="shared" si="93"/>
        <v>6</v>
      </c>
      <c r="I201" s="34">
        <f t="shared" si="93"/>
        <v>7</v>
      </c>
      <c r="J201" s="34">
        <f t="shared" si="93"/>
        <v>8</v>
      </c>
      <c r="K201" s="34">
        <f t="shared" si="93"/>
        <v>9</v>
      </c>
      <c r="L201" s="34">
        <f t="shared" si="93"/>
        <v>10</v>
      </c>
      <c r="M201" s="34">
        <f t="shared" si="93"/>
        <v>11</v>
      </c>
      <c r="N201" s="35" t="str">
        <f t="shared" si="93"/>
        <v>n = 12</v>
      </c>
    </row>
    <row r="202" spans="1:14" ht="15.75">
      <c r="A202" s="41" t="str">
        <f t="shared" ref="A202:A215" si="94">A184</f>
        <v>"down" moves ("i"):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4" ht="15.75">
      <c r="A203" s="41">
        <f t="shared" si="94"/>
        <v>0</v>
      </c>
      <c r="B203" s="43">
        <f t="shared" ref="B203:N203" si="95">B75/(1+$D$10)^$B$8</f>
        <v>86.900791500313616</v>
      </c>
      <c r="C203" s="43">
        <f t="shared" si="95"/>
        <v>87.044315222677611</v>
      </c>
      <c r="D203" s="43">
        <f t="shared" si="95"/>
        <v>87.188075986137832</v>
      </c>
      <c r="E203" s="43">
        <f t="shared" si="95"/>
        <v>87.332074182186943</v>
      </c>
      <c r="F203" s="43">
        <f t="shared" si="95"/>
        <v>87.476310202964143</v>
      </c>
      <c r="G203" s="43">
        <f t="shared" si="95"/>
        <v>87.620784441256333</v>
      </c>
      <c r="H203" s="43">
        <f t="shared" si="95"/>
        <v>87.765497290499098</v>
      </c>
      <c r="I203" s="43">
        <f t="shared" si="95"/>
        <v>87.910449144777814</v>
      </c>
      <c r="J203" s="43">
        <f t="shared" si="95"/>
        <v>88.055640398828743</v>
      </c>
      <c r="K203" s="43">
        <f t="shared" si="95"/>
        <v>88.201071448040054</v>
      </c>
      <c r="L203" s="43">
        <f t="shared" si="95"/>
        <v>88.346742688452963</v>
      </c>
      <c r="M203" s="43">
        <f t="shared" si="95"/>
        <v>88.492654516762769</v>
      </c>
      <c r="N203" s="43">
        <f t="shared" si="95"/>
        <v>88.638807330319935</v>
      </c>
    </row>
    <row r="204" spans="1:14" ht="15.75">
      <c r="A204" s="41">
        <f t="shared" si="94"/>
        <v>1</v>
      </c>
      <c r="B204" s="34"/>
      <c r="C204" s="43">
        <f t="shared" ref="C204:N204" si="96">C76/(1+$D$10)^$B$8</f>
        <v>87.044315222677611</v>
      </c>
      <c r="D204" s="43">
        <f t="shared" si="96"/>
        <v>87.188075986137832</v>
      </c>
      <c r="E204" s="43">
        <f t="shared" si="96"/>
        <v>87.332074182186943</v>
      </c>
      <c r="F204" s="43">
        <f t="shared" si="96"/>
        <v>87.476310202964143</v>
      </c>
      <c r="G204" s="43">
        <f t="shared" si="96"/>
        <v>87.620784441256333</v>
      </c>
      <c r="H204" s="43">
        <f t="shared" si="96"/>
        <v>87.765497290499098</v>
      </c>
      <c r="I204" s="43">
        <f t="shared" si="96"/>
        <v>87.910449144777814</v>
      </c>
      <c r="J204" s="43">
        <f t="shared" si="96"/>
        <v>88.055640398828743</v>
      </c>
      <c r="K204" s="43">
        <f t="shared" si="96"/>
        <v>88.201071448040054</v>
      </c>
      <c r="L204" s="43">
        <f t="shared" si="96"/>
        <v>88.346742688452963</v>
      </c>
      <c r="M204" s="43">
        <f t="shared" si="96"/>
        <v>88.492654516762769</v>
      </c>
      <c r="N204" s="43">
        <f t="shared" si="96"/>
        <v>88.638807330319935</v>
      </c>
    </row>
    <row r="205" spans="1:14" ht="15.75">
      <c r="A205" s="41">
        <f t="shared" si="94"/>
        <v>2</v>
      </c>
      <c r="B205" s="34"/>
      <c r="C205" s="34"/>
      <c r="D205" s="43">
        <f t="shared" ref="D205:N205" si="97">D77/(1+$D$10)^$B$8</f>
        <v>87.188075986137832</v>
      </c>
      <c r="E205" s="43">
        <f t="shared" si="97"/>
        <v>87.332074182186943</v>
      </c>
      <c r="F205" s="43">
        <f t="shared" si="97"/>
        <v>87.476310202964143</v>
      </c>
      <c r="G205" s="43">
        <f t="shared" si="97"/>
        <v>87.620784441256333</v>
      </c>
      <c r="H205" s="43">
        <f t="shared" si="97"/>
        <v>87.765497290499098</v>
      </c>
      <c r="I205" s="43">
        <f t="shared" si="97"/>
        <v>87.910449144777814</v>
      </c>
      <c r="J205" s="43">
        <f t="shared" si="97"/>
        <v>88.055640398828743</v>
      </c>
      <c r="K205" s="43">
        <f t="shared" si="97"/>
        <v>88.201071448040054</v>
      </c>
      <c r="L205" s="43">
        <f t="shared" si="97"/>
        <v>88.346742688452963</v>
      </c>
      <c r="M205" s="43">
        <f t="shared" si="97"/>
        <v>88.492654516762769</v>
      </c>
      <c r="N205" s="43">
        <f t="shared" si="97"/>
        <v>88.638807330319935</v>
      </c>
    </row>
    <row r="206" spans="1:14" ht="15.75">
      <c r="A206" s="41">
        <f t="shared" si="94"/>
        <v>3</v>
      </c>
      <c r="B206" s="34"/>
      <c r="C206" s="34"/>
      <c r="D206" s="34"/>
      <c r="E206" s="43">
        <f t="shared" ref="E206:N206" si="98">E78/(1+$D$10)^$B$8</f>
        <v>87.332074182186943</v>
      </c>
      <c r="F206" s="43">
        <f t="shared" si="98"/>
        <v>87.476310202964143</v>
      </c>
      <c r="G206" s="43">
        <f t="shared" si="98"/>
        <v>87.620784441256333</v>
      </c>
      <c r="H206" s="43">
        <f t="shared" si="98"/>
        <v>87.765497290499098</v>
      </c>
      <c r="I206" s="43">
        <f t="shared" si="98"/>
        <v>87.910449144777814</v>
      </c>
      <c r="J206" s="43">
        <f t="shared" si="98"/>
        <v>88.055640398828743</v>
      </c>
      <c r="K206" s="43">
        <f t="shared" si="98"/>
        <v>88.201071448040054</v>
      </c>
      <c r="L206" s="43">
        <f t="shared" si="98"/>
        <v>88.346742688452963</v>
      </c>
      <c r="M206" s="43">
        <f t="shared" si="98"/>
        <v>88.492654516762769</v>
      </c>
      <c r="N206" s="43">
        <f t="shared" si="98"/>
        <v>88.638807330319935</v>
      </c>
    </row>
    <row r="207" spans="1:14" ht="15.75">
      <c r="A207" s="41">
        <f t="shared" si="94"/>
        <v>4</v>
      </c>
      <c r="B207" s="34"/>
      <c r="C207" s="34"/>
      <c r="D207" s="34"/>
      <c r="E207" s="34"/>
      <c r="F207" s="43">
        <f t="shared" ref="F207:N207" si="99">F79/(1+$D$10)^$B$8</f>
        <v>87.476310202964143</v>
      </c>
      <c r="G207" s="43">
        <f t="shared" si="99"/>
        <v>87.620784441256333</v>
      </c>
      <c r="H207" s="43">
        <f t="shared" si="99"/>
        <v>87.765497290499098</v>
      </c>
      <c r="I207" s="43">
        <f t="shared" si="99"/>
        <v>87.910449144777814</v>
      </c>
      <c r="J207" s="43">
        <f t="shared" si="99"/>
        <v>88.055640398828743</v>
      </c>
      <c r="K207" s="43">
        <f t="shared" si="99"/>
        <v>88.201071448040054</v>
      </c>
      <c r="L207" s="43">
        <f t="shared" si="99"/>
        <v>88.346742688452963</v>
      </c>
      <c r="M207" s="43">
        <f t="shared" si="99"/>
        <v>88.492654516762769</v>
      </c>
      <c r="N207" s="43">
        <f t="shared" si="99"/>
        <v>88.638807330319935</v>
      </c>
    </row>
    <row r="208" spans="1:14" ht="15.75">
      <c r="A208" s="41">
        <f t="shared" si="94"/>
        <v>5</v>
      </c>
      <c r="B208" s="34"/>
      <c r="C208" s="34"/>
      <c r="D208" s="34"/>
      <c r="E208" s="34"/>
      <c r="F208" s="34"/>
      <c r="G208" s="43">
        <f t="shared" ref="G208:N208" si="100">G80/(1+$D$10)^$B$8</f>
        <v>87.620784441256333</v>
      </c>
      <c r="H208" s="43">
        <f t="shared" si="100"/>
        <v>87.765497290499098</v>
      </c>
      <c r="I208" s="43">
        <f t="shared" si="100"/>
        <v>87.910449144777814</v>
      </c>
      <c r="J208" s="43">
        <f t="shared" si="100"/>
        <v>88.055640398828743</v>
      </c>
      <c r="K208" s="43">
        <f t="shared" si="100"/>
        <v>88.201071448040054</v>
      </c>
      <c r="L208" s="43">
        <f t="shared" si="100"/>
        <v>88.346742688452963</v>
      </c>
      <c r="M208" s="43">
        <f t="shared" si="100"/>
        <v>88.492654516762769</v>
      </c>
      <c r="N208" s="43">
        <f t="shared" si="100"/>
        <v>88.638807330319935</v>
      </c>
    </row>
    <row r="209" spans="1:14" ht="15.75">
      <c r="A209" s="41">
        <f t="shared" si="94"/>
        <v>6</v>
      </c>
      <c r="B209" s="34"/>
      <c r="C209" s="34"/>
      <c r="D209" s="34"/>
      <c r="E209" s="34"/>
      <c r="F209" s="34"/>
      <c r="G209" s="34"/>
      <c r="H209" s="43">
        <f t="shared" ref="H209:N209" si="101">H81/(1+$D$10)^$B$8</f>
        <v>87.765497290499098</v>
      </c>
      <c r="I209" s="43">
        <f t="shared" si="101"/>
        <v>87.910449144777814</v>
      </c>
      <c r="J209" s="43">
        <f t="shared" si="101"/>
        <v>88.055640398828743</v>
      </c>
      <c r="K209" s="43">
        <f t="shared" si="101"/>
        <v>88.201071448040054</v>
      </c>
      <c r="L209" s="43">
        <f t="shared" si="101"/>
        <v>88.346742688452963</v>
      </c>
      <c r="M209" s="43">
        <f t="shared" si="101"/>
        <v>88.492654516762769</v>
      </c>
      <c r="N209" s="43">
        <f t="shared" si="101"/>
        <v>88.638807330319935</v>
      </c>
    </row>
    <row r="210" spans="1:14" ht="15.75">
      <c r="A210" s="41">
        <f t="shared" si="94"/>
        <v>7</v>
      </c>
      <c r="B210" s="34"/>
      <c r="C210" s="34"/>
      <c r="D210" s="34"/>
      <c r="E210" s="34"/>
      <c r="F210" s="34"/>
      <c r="G210" s="34"/>
      <c r="H210" s="34"/>
      <c r="I210" s="43">
        <f t="shared" ref="I210:N210" si="102">I82/(1+$D$10)^$B$8</f>
        <v>87.910449144777814</v>
      </c>
      <c r="J210" s="43">
        <f t="shared" si="102"/>
        <v>88.055640398828743</v>
      </c>
      <c r="K210" s="43">
        <f t="shared" si="102"/>
        <v>88.201071448040054</v>
      </c>
      <c r="L210" s="43">
        <f t="shared" si="102"/>
        <v>88.346742688452963</v>
      </c>
      <c r="M210" s="43">
        <f t="shared" si="102"/>
        <v>88.492654516762769</v>
      </c>
      <c r="N210" s="43">
        <f t="shared" si="102"/>
        <v>88.638807330319935</v>
      </c>
    </row>
    <row r="211" spans="1:14" ht="15.75">
      <c r="A211" s="41">
        <f t="shared" si="94"/>
        <v>8</v>
      </c>
      <c r="B211" s="34"/>
      <c r="C211" s="34"/>
      <c r="D211" s="34"/>
      <c r="E211" s="34"/>
      <c r="F211" s="34"/>
      <c r="G211" s="34"/>
      <c r="H211" s="34"/>
      <c r="I211" s="34"/>
      <c r="J211" s="43">
        <f>J83/(1+$D$10)^$B$8</f>
        <v>88.055640398828743</v>
      </c>
      <c r="K211" s="43">
        <f>K83/(1+$D$10)^$B$8</f>
        <v>88.201071448040054</v>
      </c>
      <c r="L211" s="43">
        <f>L83/(1+$D$10)^$B$8</f>
        <v>88.346742688452963</v>
      </c>
      <c r="M211" s="43">
        <f>M83/(1+$D$10)^$B$8</f>
        <v>88.492654516762769</v>
      </c>
      <c r="N211" s="43">
        <f>N83/(1+$D$10)^$B$8</f>
        <v>88.638807330319935</v>
      </c>
    </row>
    <row r="212" spans="1:14" ht="15.75">
      <c r="A212" s="41">
        <f t="shared" si="94"/>
        <v>9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43">
        <f>K84/(1+$D$10)^$B$8</f>
        <v>88.201071448040054</v>
      </c>
      <c r="L212" s="43">
        <f>L84/(1+$D$10)^$B$8</f>
        <v>88.346742688452963</v>
      </c>
      <c r="M212" s="43">
        <f>M84/(1+$D$10)^$B$8</f>
        <v>88.492654516762769</v>
      </c>
      <c r="N212" s="43">
        <f>N84/(1+$D$10)^$B$8</f>
        <v>88.638807330319935</v>
      </c>
    </row>
    <row r="213" spans="1:14" ht="15.75">
      <c r="A213" s="41">
        <f t="shared" si="94"/>
        <v>10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43">
        <f>L85/(1+$D$10)^$B$8</f>
        <v>88.346742688452963</v>
      </c>
      <c r="M213" s="43">
        <f>M85/(1+$D$10)^$B$8</f>
        <v>88.492654516762769</v>
      </c>
      <c r="N213" s="43">
        <f>N85/(1+$D$10)^$B$8</f>
        <v>88.638807330319935</v>
      </c>
    </row>
    <row r="214" spans="1:14" ht="15.75">
      <c r="A214" s="41">
        <f t="shared" si="94"/>
        <v>11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43">
        <f>M86/(1+$D$10)^$B$8</f>
        <v>88.492654516762769</v>
      </c>
      <c r="N214" s="43">
        <f>N86/(1+$D$10)^$B$8</f>
        <v>88.638807330319935</v>
      </c>
    </row>
    <row r="215" spans="1:14" ht="15.75">
      <c r="A215" s="41">
        <f t="shared" si="94"/>
        <v>12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43">
        <f>N87/(1+$D$10)^$B$8</f>
        <v>88.638807330319935</v>
      </c>
    </row>
    <row r="216" spans="1:14">
      <c r="A216" s="164"/>
    </row>
    <row r="218" spans="1:14" ht="15.75">
      <c r="A218" s="163" t="s">
        <v>136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</row>
    <row r="219" spans="1:14" ht="15.75">
      <c r="A219" s="35" t="str">
        <f t="shared" ref="A219:N219" si="103">A201</f>
        <v>Period ("j"):</v>
      </c>
      <c r="B219" s="34">
        <f t="shared" si="103"/>
        <v>0</v>
      </c>
      <c r="C219" s="34">
        <f t="shared" si="103"/>
        <v>1</v>
      </c>
      <c r="D219" s="34">
        <f t="shared" si="103"/>
        <v>2</v>
      </c>
      <c r="E219" s="34">
        <f t="shared" si="103"/>
        <v>3</v>
      </c>
      <c r="F219" s="34">
        <f t="shared" si="103"/>
        <v>4</v>
      </c>
      <c r="G219" s="34">
        <f t="shared" si="103"/>
        <v>5</v>
      </c>
      <c r="H219" s="34">
        <f t="shared" si="103"/>
        <v>6</v>
      </c>
      <c r="I219" s="34">
        <f t="shared" si="103"/>
        <v>7</v>
      </c>
      <c r="J219" s="34">
        <f t="shared" si="103"/>
        <v>8</v>
      </c>
      <c r="K219" s="34">
        <f t="shared" si="103"/>
        <v>9</v>
      </c>
      <c r="L219" s="34">
        <f t="shared" si="103"/>
        <v>10</v>
      </c>
      <c r="M219" s="34">
        <f t="shared" si="103"/>
        <v>11</v>
      </c>
      <c r="N219" s="35" t="str">
        <f t="shared" si="103"/>
        <v>n = 12</v>
      </c>
    </row>
    <row r="220" spans="1:14" ht="15.75">
      <c r="A220" s="41" t="str">
        <f t="shared" ref="A220:A233" si="104">A202</f>
        <v>"down" moves ("i"):</v>
      </c>
      <c r="B220" s="34" t="s">
        <v>84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</row>
    <row r="221" spans="1:14" ht="15.75">
      <c r="A221" s="41">
        <f t="shared" si="104"/>
        <v>0</v>
      </c>
      <c r="B221" s="43">
        <f t="shared" ref="B221:M221" si="105">MAX(B185-B203,(1/(1+$D$4))*(($D$11*C221+(1-$D$11)*C222)-((C221-C222)/((1+$D$9)-1/(1+$D$9)))*($D$5-$D$4)))</f>
        <v>7.4840190596443961</v>
      </c>
      <c r="C221" s="43">
        <f t="shared" si="105"/>
        <v>10.454859439661092</v>
      </c>
      <c r="D221" s="43">
        <f t="shared" si="105"/>
        <v>14.326771007481518</v>
      </c>
      <c r="E221" s="43">
        <f t="shared" si="105"/>
        <v>19.239986133238546</v>
      </c>
      <c r="F221" s="43">
        <f t="shared" si="105"/>
        <v>24.687869982653652</v>
      </c>
      <c r="G221" s="43">
        <f t="shared" si="105"/>
        <v>30.42894903931861</v>
      </c>
      <c r="H221" s="43">
        <f t="shared" si="105"/>
        <v>36.478620143184784</v>
      </c>
      <c r="I221" s="43">
        <f t="shared" si="105"/>
        <v>42.853088067401657</v>
      </c>
      <c r="J221" s="43">
        <f t="shared" si="105"/>
        <v>49.569407912756745</v>
      </c>
      <c r="K221" s="43">
        <f t="shared" si="105"/>
        <v>56.645529726664833</v>
      </c>
      <c r="L221" s="43">
        <f t="shared" si="105"/>
        <v>64.100345463434309</v>
      </c>
      <c r="M221" s="43">
        <f t="shared" si="105"/>
        <v>71.953738408664037</v>
      </c>
      <c r="N221" s="43">
        <f t="shared" ref="N221:N233" si="106">MAX(N185-N203,0)</f>
        <v>80.226635197069896</v>
      </c>
    </row>
    <row r="222" spans="1:14" ht="15.75">
      <c r="A222" s="41">
        <f t="shared" si="104"/>
        <v>1</v>
      </c>
      <c r="B222" s="34"/>
      <c r="C222" s="43">
        <f t="shared" ref="C222:M222" si="107">MAX(C186-C204,(1/(1+$D$4))*(($D$11*D222+(1-$D$11)*D223)-((D222-D223)/((1+$D$9)-1/(1+$D$9)))*($D$5-$D$4)))</f>
        <v>4.4517965429609392</v>
      </c>
      <c r="D222" s="43">
        <f t="shared" si="107"/>
        <v>6.5065113556691019</v>
      </c>
      <c r="E222" s="43">
        <f t="shared" si="107"/>
        <v>9.3219524220389189</v>
      </c>
      <c r="F222" s="43">
        <f t="shared" si="107"/>
        <v>13.067942655729725</v>
      </c>
      <c r="G222" s="43">
        <f t="shared" si="107"/>
        <v>17.893495220559487</v>
      </c>
      <c r="H222" s="43">
        <f t="shared" si="107"/>
        <v>23.285397673108577</v>
      </c>
      <c r="I222" s="43">
        <f t="shared" si="107"/>
        <v>28.967582072840557</v>
      </c>
      <c r="J222" s="43">
        <f t="shared" si="107"/>
        <v>34.955292433213955</v>
      </c>
      <c r="K222" s="43">
        <f t="shared" si="107"/>
        <v>41.264572681738414</v>
      </c>
      <c r="L222" s="43">
        <f t="shared" si="107"/>
        <v>47.912308633628697</v>
      </c>
      <c r="M222" s="43">
        <f t="shared" si="107"/>
        <v>54.916272167928128</v>
      </c>
      <c r="N222" s="43">
        <f t="shared" si="106"/>
        <v>62.295167721671163</v>
      </c>
    </row>
    <row r="223" spans="1:14" ht="15.75">
      <c r="A223" s="41">
        <f t="shared" si="104"/>
        <v>2</v>
      </c>
      <c r="B223" s="34"/>
      <c r="C223" s="34"/>
      <c r="D223" s="43">
        <f t="shared" ref="D223:M223" si="108">MAX(D187-D205,(1/(1+$D$4))*(($D$11*E223+(1-$D$11)*E224)-((E223-E224)/((1+$D$9)-1/(1+$D$9)))*($D$5-$D$4)))</f>
        <v>2.3509457682232542</v>
      </c>
      <c r="E223" s="43">
        <f t="shared" si="108"/>
        <v>3.6299197475774378</v>
      </c>
      <c r="F223" s="43">
        <f t="shared" si="108"/>
        <v>5.4979806958951052</v>
      </c>
      <c r="G223" s="43">
        <f t="shared" si="108"/>
        <v>8.1473210634385591</v>
      </c>
      <c r="H223" s="43">
        <f t="shared" si="108"/>
        <v>11.777477369026375</v>
      </c>
      <c r="I223" s="43">
        <f t="shared" si="108"/>
        <v>16.556548862019895</v>
      </c>
      <c r="J223" s="43">
        <f t="shared" si="108"/>
        <v>21.893019251781595</v>
      </c>
      <c r="K223" s="43">
        <f t="shared" si="108"/>
        <v>27.516887233792971</v>
      </c>
      <c r="L223" s="43">
        <f t="shared" si="108"/>
        <v>33.443245511881386</v>
      </c>
      <c r="M223" s="43">
        <f t="shared" si="108"/>
        <v>39.68797876437236</v>
      </c>
      <c r="N223" s="43">
        <f t="shared" si="106"/>
        <v>46.267805201133939</v>
      </c>
    </row>
    <row r="224" spans="1:14" ht="15.75">
      <c r="A224" s="41">
        <f t="shared" si="104"/>
        <v>3</v>
      </c>
      <c r="B224" s="34"/>
      <c r="C224" s="34"/>
      <c r="D224" s="34"/>
      <c r="E224" s="43">
        <f t="shared" ref="E224:M224" si="109">MAX(E188-E206,(1/(1+$D$4))*(($D$11*F224+(1-$D$11)*F225)-((F224-F225)/((1+$D$9)-1/(1+$D$9)))*($D$5-$D$4)))</f>
        <v>1.0411183761646108</v>
      </c>
      <c r="F224" s="43">
        <f t="shared" si="109"/>
        <v>1.7177916392406629</v>
      </c>
      <c r="G224" s="43">
        <f t="shared" si="109"/>
        <v>2.7879218262661722</v>
      </c>
      <c r="H224" s="43">
        <f t="shared" si="109"/>
        <v>4.4370885698778162</v>
      </c>
      <c r="I224" s="43">
        <f t="shared" si="109"/>
        <v>6.8983321823134389</v>
      </c>
      <c r="J224" s="43">
        <f t="shared" si="109"/>
        <v>10.425968211335453</v>
      </c>
      <c r="K224" s="43">
        <f t="shared" si="109"/>
        <v>15.229039694553208</v>
      </c>
      <c r="L224" s="43">
        <f t="shared" si="109"/>
        <v>20.510621882335258</v>
      </c>
      <c r="M224" s="43">
        <f t="shared" si="109"/>
        <v>26.076745925635223</v>
      </c>
      <c r="N224" s="43">
        <f t="shared" si="106"/>
        <v>31.942354720455455</v>
      </c>
    </row>
    <row r="225" spans="1:14" ht="15.75">
      <c r="A225" s="41">
        <f t="shared" si="104"/>
        <v>4</v>
      </c>
      <c r="B225" s="34"/>
      <c r="C225" s="34"/>
      <c r="D225" s="34"/>
      <c r="E225" s="34"/>
      <c r="F225" s="43">
        <f t="shared" ref="F225:M225" si="110">MAX(F189-F207,(1/(1+$D$4))*(($D$11*G225+(1-$D$11)*G226)-((G225-G226)/((1+$D$9)-1/(1+$D$9)))*($D$5-$D$4)))</f>
        <v>0.347090838311575</v>
      </c>
      <c r="G225" s="43">
        <f t="shared" si="110"/>
        <v>0.62057890035077312</v>
      </c>
      <c r="H225" s="43">
        <f t="shared" si="110"/>
        <v>1.0977334588332206</v>
      </c>
      <c r="I225" s="43">
        <f t="shared" si="110"/>
        <v>1.9160284730634174</v>
      </c>
      <c r="J225" s="43">
        <f t="shared" si="110"/>
        <v>3.2877016778750652</v>
      </c>
      <c r="K225" s="43">
        <f t="shared" si="110"/>
        <v>5.5151491730681679</v>
      </c>
      <c r="L225" s="43">
        <f t="shared" si="110"/>
        <v>8.9655501960524635</v>
      </c>
      <c r="M225" s="43">
        <f t="shared" si="110"/>
        <v>13.910861378975724</v>
      </c>
      <c r="N225" s="43">
        <f t="shared" si="106"/>
        <v>19.138093806570964</v>
      </c>
    </row>
    <row r="226" spans="1:14" ht="15.75">
      <c r="A226" s="41">
        <f t="shared" si="104"/>
        <v>5</v>
      </c>
      <c r="B226" s="34"/>
      <c r="C226" s="34"/>
      <c r="D226" s="34"/>
      <c r="E226" s="34"/>
      <c r="F226" s="34"/>
      <c r="G226" s="43">
        <f t="shared" ref="G226:M226" si="111">MAX(G190-G208,(1/(1+$D$4))*(($D$11*H226+(1-$D$11)*H227)-((H226-H227)/((1+$D$9)-1/(1+$D$9)))*($D$5-$D$4)))</f>
        <v>6.6214142250035052E-2</v>
      </c>
      <c r="H226" s="43">
        <f t="shared" si="111"/>
        <v>0.13060969763408373</v>
      </c>
      <c r="I226" s="43">
        <f t="shared" si="111"/>
        <v>0.25763216944878187</v>
      </c>
      <c r="J226" s="43">
        <f t="shared" si="111"/>
        <v>0.50818841125289393</v>
      </c>
      <c r="K226" s="43">
        <f t="shared" si="111"/>
        <v>1.0024193092201648</v>
      </c>
      <c r="L226" s="43">
        <f t="shared" si="111"/>
        <v>1.977306938228041</v>
      </c>
      <c r="M226" s="43">
        <f t="shared" si="111"/>
        <v>3.9003066800522306</v>
      </c>
      <c r="N226" s="43">
        <f t="shared" si="106"/>
        <v>7.6934905271169498</v>
      </c>
    </row>
    <row r="227" spans="1:14" ht="15.75">
      <c r="A227" s="41">
        <f t="shared" si="104"/>
        <v>6</v>
      </c>
      <c r="B227" s="34"/>
      <c r="C227" s="34"/>
      <c r="D227" s="34"/>
      <c r="E227" s="34"/>
      <c r="F227" s="34"/>
      <c r="G227" s="34"/>
      <c r="H227" s="43">
        <f t="shared" ref="H227:M227" si="112">MAX(H191-H209,(1/(1+$D$4))*(($D$11*I227+(1-$D$11)*I228)-((I227-I228)/((1+$D$9)-1/(1+$D$9)))*($D$5-$D$4)))</f>
        <v>0</v>
      </c>
      <c r="I227" s="43">
        <f t="shared" si="112"/>
        <v>0</v>
      </c>
      <c r="J227" s="43">
        <f t="shared" si="112"/>
        <v>0</v>
      </c>
      <c r="K227" s="43">
        <f t="shared" si="112"/>
        <v>0</v>
      </c>
      <c r="L227" s="43">
        <f t="shared" si="112"/>
        <v>0</v>
      </c>
      <c r="M227" s="43">
        <f t="shared" si="112"/>
        <v>0</v>
      </c>
      <c r="N227" s="43">
        <f t="shared" si="106"/>
        <v>0</v>
      </c>
    </row>
    <row r="228" spans="1:14" ht="15.75">
      <c r="A228" s="41">
        <f t="shared" si="104"/>
        <v>7</v>
      </c>
      <c r="B228" s="34"/>
      <c r="C228" s="34"/>
      <c r="D228" s="34"/>
      <c r="E228" s="34"/>
      <c r="F228" s="34"/>
      <c r="G228" s="34"/>
      <c r="H228" s="34"/>
      <c r="I228" s="43">
        <f>MAX(I192-I210,(1/(1+$D$4))*(($D$11*J228+(1-$D$11)*J229)-((J228-J229)/((1+$D$9)-1/(1+$D$9)))*($D$5-$D$4)))</f>
        <v>0</v>
      </c>
      <c r="J228" s="43">
        <f>MAX(J192-J210,(1/(1+$D$4))*(($D$11*K228+(1-$D$11)*K229)-((K228-K229)/((1+$D$9)-1/(1+$D$9)))*($D$5-$D$4)))</f>
        <v>0</v>
      </c>
      <c r="K228" s="43">
        <f>MAX(K192-K210,(1/(1+$D$4))*(($D$11*L228+(1-$D$11)*L229)-((L228-L229)/((1+$D$9)-1/(1+$D$9)))*($D$5-$D$4)))</f>
        <v>0</v>
      </c>
      <c r="L228" s="43">
        <f>MAX(L192-L210,(1/(1+$D$4))*(($D$11*M228+(1-$D$11)*M229)-((M228-M229)/((1+$D$9)-1/(1+$D$9)))*($D$5-$D$4)))</f>
        <v>0</v>
      </c>
      <c r="M228" s="43">
        <f>MAX(M192-M210,(1/(1+$D$4))*(($D$11*N228+(1-$D$11)*N229)-((N228-N229)/((1+$D$9)-1/(1+$D$9)))*($D$5-$D$4)))</f>
        <v>0</v>
      </c>
      <c r="N228" s="43">
        <f t="shared" si="106"/>
        <v>0</v>
      </c>
    </row>
    <row r="229" spans="1:14" ht="15.75">
      <c r="A229" s="41">
        <f t="shared" si="104"/>
        <v>8</v>
      </c>
      <c r="B229" s="34"/>
      <c r="C229" s="34"/>
      <c r="D229" s="34"/>
      <c r="E229" s="34"/>
      <c r="F229" s="34"/>
      <c r="G229" s="34"/>
      <c r="H229" s="34"/>
      <c r="I229" s="34"/>
      <c r="J229" s="43">
        <f>MAX(J193-J211,(1/(1+$D$4))*(($D$11*K229+(1-$D$11)*K230)-((K229-K230)/((1+$D$9)-1/(1+$D$9)))*($D$5-$D$4)))</f>
        <v>0</v>
      </c>
      <c r="K229" s="43">
        <f>MAX(K193-K211,(1/(1+$D$4))*(($D$11*L229+(1-$D$11)*L230)-((L229-L230)/((1+$D$9)-1/(1+$D$9)))*($D$5-$D$4)))</f>
        <v>0</v>
      </c>
      <c r="L229" s="43">
        <f>MAX(L193-L211,(1/(1+$D$4))*(($D$11*M229+(1-$D$11)*M230)-((M229-M230)/((1+$D$9)-1/(1+$D$9)))*($D$5-$D$4)))</f>
        <v>0</v>
      </c>
      <c r="M229" s="43">
        <f>MAX(M193-M211,(1/(1+$D$4))*(($D$11*N229+(1-$D$11)*N230)-((N229-N230)/((1+$D$9)-1/(1+$D$9)))*($D$5-$D$4)))</f>
        <v>0</v>
      </c>
      <c r="N229" s="43">
        <f t="shared" si="106"/>
        <v>0</v>
      </c>
    </row>
    <row r="230" spans="1:14" ht="15.75">
      <c r="A230" s="41">
        <f t="shared" si="104"/>
        <v>9</v>
      </c>
      <c r="B230" s="34"/>
      <c r="C230" s="34"/>
      <c r="D230" s="34"/>
      <c r="E230" s="34"/>
      <c r="F230" s="34"/>
      <c r="G230" s="34"/>
      <c r="H230" s="34"/>
      <c r="I230" s="34"/>
      <c r="J230" s="34"/>
      <c r="K230" s="43">
        <f>MAX(K194-K212,(1/(1+$D$4))*(($D$11*L230+(1-$D$11)*L231)-((L230-L231)/((1+$D$9)-1/(1+$D$9)))*($D$5-$D$4)))</f>
        <v>0</v>
      </c>
      <c r="L230" s="43">
        <f>MAX(L194-L212,(1/(1+$D$4))*(($D$11*M230+(1-$D$11)*M231)-((M230-M231)/((1+$D$9)-1/(1+$D$9)))*($D$5-$D$4)))</f>
        <v>0</v>
      </c>
      <c r="M230" s="43">
        <f>MAX(M194-M212,(1/(1+$D$4))*(($D$11*N230+(1-$D$11)*N231)-((N230-N231)/((1+$D$9)-1/(1+$D$9)))*($D$5-$D$4)))</f>
        <v>0</v>
      </c>
      <c r="N230" s="43">
        <f t="shared" si="106"/>
        <v>0</v>
      </c>
    </row>
    <row r="231" spans="1:14" ht="15.75">
      <c r="A231" s="41">
        <f t="shared" si="104"/>
        <v>10</v>
      </c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43">
        <f>MAX(L195-L213,(1/(1+$D$4))*(($D$11*M231+(1-$D$11)*M232)-((M231-M232)/((1+$D$9)-1/(1+$D$9)))*($D$5-$D$4)))</f>
        <v>0</v>
      </c>
      <c r="M231" s="43">
        <f>MAX(M195-M213,(1/(1+$D$4))*(($D$11*N231+(1-$D$11)*N232)-((N231-N232)/((1+$D$9)-1/(1+$D$9)))*($D$5-$D$4)))</f>
        <v>0</v>
      </c>
      <c r="N231" s="43">
        <f t="shared" si="106"/>
        <v>0</v>
      </c>
    </row>
    <row r="232" spans="1:14" ht="15.75">
      <c r="A232" s="41">
        <f t="shared" si="104"/>
        <v>11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43">
        <f>MAX(M196-M214,(1/(1+$D$4))*(($D$11*N232+(1-$D$11)*N233)-((N232-N233)/((1+$D$9)-1/(1+$D$9)))*($D$5-$D$4)))</f>
        <v>0</v>
      </c>
      <c r="N232" s="43">
        <f t="shared" si="106"/>
        <v>0</v>
      </c>
    </row>
    <row r="233" spans="1:14" ht="15.75">
      <c r="A233" s="41">
        <f t="shared" si="104"/>
        <v>12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43">
        <f t="shared" si="106"/>
        <v>0</v>
      </c>
    </row>
    <row r="236" spans="1:14" ht="15.75">
      <c r="A236" s="163" t="s">
        <v>137</v>
      </c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5" t="s">
        <v>52</v>
      </c>
    </row>
    <row r="237" spans="1:14" ht="15.75">
      <c r="A237" s="165" t="s">
        <v>141</v>
      </c>
      <c r="B237" s="34">
        <v>0</v>
      </c>
      <c r="C237" s="34">
        <v>1</v>
      </c>
      <c r="D237" s="34">
        <v>2</v>
      </c>
      <c r="E237" s="34">
        <v>3</v>
      </c>
      <c r="F237" s="34">
        <v>4</v>
      </c>
      <c r="G237" s="34">
        <v>5</v>
      </c>
      <c r="H237" s="34">
        <v>6</v>
      </c>
      <c r="I237" s="34">
        <v>7</v>
      </c>
      <c r="J237" s="34">
        <v>8</v>
      </c>
      <c r="K237" s="34">
        <v>9</v>
      </c>
      <c r="L237" s="34">
        <v>10</v>
      </c>
      <c r="M237" s="34">
        <v>11</v>
      </c>
      <c r="N237" s="34">
        <v>12</v>
      </c>
    </row>
    <row r="238" spans="1:14" ht="15.75">
      <c r="A238" s="41" t="s">
        <v>53</v>
      </c>
      <c r="B238" s="34" t="s">
        <v>43</v>
      </c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</row>
    <row r="239" spans="1:14" ht="15.75">
      <c r="A239" s="41">
        <v>0</v>
      </c>
      <c r="B239" s="35" t="str">
        <f t="shared" ref="B239:N239" si="113">IF(B221=B185-B203,"exer","hold")</f>
        <v>hold</v>
      </c>
      <c r="C239" s="35" t="str">
        <f t="shared" si="113"/>
        <v>hold</v>
      </c>
      <c r="D239" s="35" t="str">
        <f t="shared" si="113"/>
        <v>hold</v>
      </c>
      <c r="E239" s="35" t="str">
        <f t="shared" si="113"/>
        <v>exer</v>
      </c>
      <c r="F239" s="35" t="str">
        <f t="shared" si="113"/>
        <v>exer</v>
      </c>
      <c r="G239" s="35" t="str">
        <f t="shared" si="113"/>
        <v>exer</v>
      </c>
      <c r="H239" s="35" t="str">
        <f t="shared" si="113"/>
        <v>exer</v>
      </c>
      <c r="I239" s="35" t="str">
        <f t="shared" si="113"/>
        <v>exer</v>
      </c>
      <c r="J239" s="35" t="str">
        <f t="shared" si="113"/>
        <v>exer</v>
      </c>
      <c r="K239" s="35" t="str">
        <f t="shared" si="113"/>
        <v>exer</v>
      </c>
      <c r="L239" s="35" t="str">
        <f t="shared" si="113"/>
        <v>exer</v>
      </c>
      <c r="M239" s="35" t="str">
        <f t="shared" si="113"/>
        <v>exer</v>
      </c>
      <c r="N239" s="35" t="str">
        <f t="shared" si="113"/>
        <v>exer</v>
      </c>
    </row>
    <row r="240" spans="1:14" ht="15.75">
      <c r="A240" s="41">
        <f t="shared" ref="A240:A251" si="114">1+A239</f>
        <v>1</v>
      </c>
      <c r="B240" s="35"/>
      <c r="C240" s="35" t="str">
        <f t="shared" ref="C240:N240" si="115">IF(C222=C186-C204,"exer","hold")</f>
        <v>hold</v>
      </c>
      <c r="D240" s="35" t="str">
        <f t="shared" si="115"/>
        <v>hold</v>
      </c>
      <c r="E240" s="35" t="str">
        <f t="shared" si="115"/>
        <v>hold</v>
      </c>
      <c r="F240" s="35" t="str">
        <f t="shared" si="115"/>
        <v>hold</v>
      </c>
      <c r="G240" s="35" t="str">
        <f t="shared" si="115"/>
        <v>exer</v>
      </c>
      <c r="H240" s="35" t="str">
        <f t="shared" si="115"/>
        <v>exer</v>
      </c>
      <c r="I240" s="35" t="str">
        <f t="shared" si="115"/>
        <v>exer</v>
      </c>
      <c r="J240" s="35" t="str">
        <f t="shared" si="115"/>
        <v>exer</v>
      </c>
      <c r="K240" s="35" t="str">
        <f t="shared" si="115"/>
        <v>exer</v>
      </c>
      <c r="L240" s="35" t="str">
        <f t="shared" si="115"/>
        <v>exer</v>
      </c>
      <c r="M240" s="35" t="str">
        <f t="shared" si="115"/>
        <v>exer</v>
      </c>
      <c r="N240" s="35" t="str">
        <f t="shared" si="115"/>
        <v>exer</v>
      </c>
    </row>
    <row r="241" spans="1:14" ht="15.75">
      <c r="A241" s="41">
        <f t="shared" si="114"/>
        <v>2</v>
      </c>
      <c r="B241" s="35"/>
      <c r="C241" s="35"/>
      <c r="D241" s="35" t="str">
        <f t="shared" ref="D241:N241" si="116">IF(D223=D187-D205,"exer","hold")</f>
        <v>hold</v>
      </c>
      <c r="E241" s="35" t="str">
        <f t="shared" si="116"/>
        <v>hold</v>
      </c>
      <c r="F241" s="35" t="str">
        <f t="shared" si="116"/>
        <v>hold</v>
      </c>
      <c r="G241" s="35" t="str">
        <f t="shared" si="116"/>
        <v>hold</v>
      </c>
      <c r="H241" s="35" t="str">
        <f t="shared" si="116"/>
        <v>hold</v>
      </c>
      <c r="I241" s="35" t="str">
        <f t="shared" si="116"/>
        <v>exer</v>
      </c>
      <c r="J241" s="35" t="str">
        <f t="shared" si="116"/>
        <v>exer</v>
      </c>
      <c r="K241" s="35" t="str">
        <f t="shared" si="116"/>
        <v>exer</v>
      </c>
      <c r="L241" s="35" t="str">
        <f t="shared" si="116"/>
        <v>exer</v>
      </c>
      <c r="M241" s="35" t="str">
        <f t="shared" si="116"/>
        <v>exer</v>
      </c>
      <c r="N241" s="35" t="str">
        <f t="shared" si="116"/>
        <v>exer</v>
      </c>
    </row>
    <row r="242" spans="1:14" ht="15.75">
      <c r="A242" s="41">
        <f t="shared" si="114"/>
        <v>3</v>
      </c>
      <c r="B242" s="35"/>
      <c r="C242" s="35"/>
      <c r="D242" s="35"/>
      <c r="E242" s="35" t="str">
        <f t="shared" ref="E242:N242" si="117">IF(E224=E188-E206,"exer","hold")</f>
        <v>hold</v>
      </c>
      <c r="F242" s="35" t="str">
        <f t="shared" si="117"/>
        <v>hold</v>
      </c>
      <c r="G242" s="35" t="str">
        <f t="shared" si="117"/>
        <v>hold</v>
      </c>
      <c r="H242" s="35" t="str">
        <f t="shared" si="117"/>
        <v>hold</v>
      </c>
      <c r="I242" s="35" t="str">
        <f t="shared" si="117"/>
        <v>hold</v>
      </c>
      <c r="J242" s="35" t="str">
        <f t="shared" si="117"/>
        <v>hold</v>
      </c>
      <c r="K242" s="35" t="str">
        <f t="shared" si="117"/>
        <v>exer</v>
      </c>
      <c r="L242" s="35" t="str">
        <f t="shared" si="117"/>
        <v>exer</v>
      </c>
      <c r="M242" s="35" t="str">
        <f t="shared" si="117"/>
        <v>exer</v>
      </c>
      <c r="N242" s="35" t="str">
        <f t="shared" si="117"/>
        <v>exer</v>
      </c>
    </row>
    <row r="243" spans="1:14" ht="15.75">
      <c r="A243" s="41">
        <f t="shared" si="114"/>
        <v>4</v>
      </c>
      <c r="B243" s="35"/>
      <c r="C243" s="35"/>
      <c r="D243" s="35"/>
      <c r="E243" s="35"/>
      <c r="F243" s="35" t="str">
        <f t="shared" ref="F243:N243" si="118">IF(F225=F189-F207,"exer","hold")</f>
        <v>hold</v>
      </c>
      <c r="G243" s="35" t="str">
        <f t="shared" si="118"/>
        <v>hold</v>
      </c>
      <c r="H243" s="35" t="str">
        <f t="shared" si="118"/>
        <v>hold</v>
      </c>
      <c r="I243" s="35" t="str">
        <f t="shared" si="118"/>
        <v>hold</v>
      </c>
      <c r="J243" s="35" t="str">
        <f t="shared" si="118"/>
        <v>hold</v>
      </c>
      <c r="K243" s="35" t="str">
        <f t="shared" si="118"/>
        <v>hold</v>
      </c>
      <c r="L243" s="35" t="str">
        <f t="shared" si="118"/>
        <v>hold</v>
      </c>
      <c r="M243" s="35" t="str">
        <f t="shared" si="118"/>
        <v>exer</v>
      </c>
      <c r="N243" s="35" t="str">
        <f t="shared" si="118"/>
        <v>exer</v>
      </c>
    </row>
    <row r="244" spans="1:14" ht="15.75">
      <c r="A244" s="41">
        <f t="shared" si="114"/>
        <v>5</v>
      </c>
      <c r="B244" s="35"/>
      <c r="C244" s="35"/>
      <c r="D244" s="35"/>
      <c r="E244" s="35"/>
      <c r="F244" s="35"/>
      <c r="G244" s="35" t="str">
        <f t="shared" ref="G244:N244" si="119">IF(G226=G190-G208,"exer","hold")</f>
        <v>hold</v>
      </c>
      <c r="H244" s="35" t="str">
        <f t="shared" si="119"/>
        <v>hold</v>
      </c>
      <c r="I244" s="35" t="str">
        <f t="shared" si="119"/>
        <v>hold</v>
      </c>
      <c r="J244" s="35" t="str">
        <f t="shared" si="119"/>
        <v>hold</v>
      </c>
      <c r="K244" s="35" t="str">
        <f t="shared" si="119"/>
        <v>hold</v>
      </c>
      <c r="L244" s="35" t="str">
        <f t="shared" si="119"/>
        <v>hold</v>
      </c>
      <c r="M244" s="35" t="str">
        <f t="shared" si="119"/>
        <v>hold</v>
      </c>
      <c r="N244" s="35" t="str">
        <f t="shared" si="119"/>
        <v>exer</v>
      </c>
    </row>
    <row r="245" spans="1:14" ht="15.75">
      <c r="A245" s="41">
        <f t="shared" si="114"/>
        <v>6</v>
      </c>
      <c r="B245" s="35"/>
      <c r="C245" s="35"/>
      <c r="D245" s="35"/>
      <c r="E245" s="35"/>
      <c r="F245" s="35"/>
      <c r="G245" s="35"/>
      <c r="H245" s="35" t="str">
        <f t="shared" ref="H245:N245" si="120">IF(H227=H191-H209,"exer","hold")</f>
        <v>hold</v>
      </c>
      <c r="I245" s="35" t="str">
        <f t="shared" si="120"/>
        <v>hold</v>
      </c>
      <c r="J245" s="35" t="str">
        <f t="shared" si="120"/>
        <v>hold</v>
      </c>
      <c r="K245" s="35" t="str">
        <f t="shared" si="120"/>
        <v>hold</v>
      </c>
      <c r="L245" s="35" t="str">
        <f t="shared" si="120"/>
        <v>hold</v>
      </c>
      <c r="M245" s="35" t="str">
        <f t="shared" si="120"/>
        <v>hold</v>
      </c>
      <c r="N245" s="35" t="str">
        <f t="shared" si="120"/>
        <v>hold</v>
      </c>
    </row>
    <row r="246" spans="1:14" ht="15.75">
      <c r="A246" s="41">
        <f t="shared" si="114"/>
        <v>7</v>
      </c>
      <c r="B246" s="35"/>
      <c r="C246" s="35"/>
      <c r="D246" s="35"/>
      <c r="E246" s="35"/>
      <c r="F246" s="35"/>
      <c r="G246" s="35"/>
      <c r="H246" s="35"/>
      <c r="I246" s="35" t="str">
        <f t="shared" ref="I246:N246" si="121">IF(I228=I192-I210,"exer","hold")</f>
        <v>hold</v>
      </c>
      <c r="J246" s="35" t="str">
        <f t="shared" si="121"/>
        <v>hold</v>
      </c>
      <c r="K246" s="35" t="str">
        <f t="shared" si="121"/>
        <v>hold</v>
      </c>
      <c r="L246" s="35" t="str">
        <f t="shared" si="121"/>
        <v>hold</v>
      </c>
      <c r="M246" s="35" t="str">
        <f t="shared" si="121"/>
        <v>hold</v>
      </c>
      <c r="N246" s="35" t="str">
        <f t="shared" si="121"/>
        <v>hold</v>
      </c>
    </row>
    <row r="247" spans="1:14" ht="15.75">
      <c r="A247" s="41">
        <f t="shared" si="114"/>
        <v>8</v>
      </c>
      <c r="B247" s="35"/>
      <c r="C247" s="35"/>
      <c r="D247" s="35"/>
      <c r="E247" s="35"/>
      <c r="F247" s="35"/>
      <c r="G247" s="35"/>
      <c r="H247" s="35"/>
      <c r="I247" s="35"/>
      <c r="J247" s="35" t="str">
        <f>IF(J229=J193-J211,"exer","hold")</f>
        <v>hold</v>
      </c>
      <c r="K247" s="35" t="str">
        <f>IF(K229=K193-K211,"exer","hold")</f>
        <v>hold</v>
      </c>
      <c r="L247" s="35" t="str">
        <f>IF(L229=L193-L211,"exer","hold")</f>
        <v>hold</v>
      </c>
      <c r="M247" s="35" t="str">
        <f>IF(M229=M193-M211,"exer","hold")</f>
        <v>hold</v>
      </c>
      <c r="N247" s="35" t="str">
        <f>IF(N229=N193-N211,"exer","hold")</f>
        <v>hold</v>
      </c>
    </row>
    <row r="248" spans="1:14" ht="15.75">
      <c r="A248" s="41">
        <f t="shared" si="114"/>
        <v>9</v>
      </c>
      <c r="B248" s="35"/>
      <c r="C248" s="35"/>
      <c r="D248" s="35"/>
      <c r="E248" s="35"/>
      <c r="F248" s="35"/>
      <c r="G248" s="35"/>
      <c r="H248" s="35"/>
      <c r="I248" s="35"/>
      <c r="J248" s="35"/>
      <c r="K248" s="35" t="str">
        <f>IF(K230=K194-K212,"exer","hold")</f>
        <v>hold</v>
      </c>
      <c r="L248" s="35" t="str">
        <f>IF(L230=L194-L212,"exer","hold")</f>
        <v>hold</v>
      </c>
      <c r="M248" s="35" t="str">
        <f>IF(M230=M194-M212,"exer","hold")</f>
        <v>hold</v>
      </c>
      <c r="N248" s="35" t="str">
        <f>IF(N230=N194-N212,"exer","hold")</f>
        <v>hold</v>
      </c>
    </row>
    <row r="249" spans="1:14" ht="15.75">
      <c r="A249" s="41">
        <f t="shared" si="114"/>
        <v>10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 t="str">
        <f>IF(L231=L195-L213,"exer","hold")</f>
        <v>hold</v>
      </c>
      <c r="M249" s="35" t="str">
        <f>IF(M231=M195-M213,"exer","hold")</f>
        <v>hold</v>
      </c>
      <c r="N249" s="35" t="str">
        <f>IF(N231=N195-N213,"exer","hold")</f>
        <v>hold</v>
      </c>
    </row>
    <row r="250" spans="1:14" ht="15.75">
      <c r="A250" s="41">
        <f t="shared" si="114"/>
        <v>11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 t="str">
        <f>IF(M232=M196-M214,"exer","hold")</f>
        <v>hold</v>
      </c>
      <c r="N250" s="35" t="str">
        <f>IF(N232=N196-N214,"exer","hold")</f>
        <v>hold</v>
      </c>
    </row>
    <row r="251" spans="1:14" ht="15.75">
      <c r="A251" s="41">
        <f t="shared" si="114"/>
        <v>12</v>
      </c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 t="str">
        <f>IF(N233=N197-N215,"exer","hold")</f>
        <v>hold</v>
      </c>
    </row>
    <row r="254" spans="1:14">
      <c r="B254" t="s">
        <v>44</v>
      </c>
    </row>
    <row r="255" spans="1:14">
      <c r="B255" t="s">
        <v>45</v>
      </c>
    </row>
    <row r="256" spans="1:14">
      <c r="B256" s="13" t="s">
        <v>46</v>
      </c>
    </row>
    <row r="257" spans="1:13" ht="15.75">
      <c r="B257" s="34" t="s">
        <v>51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ht="15.75">
      <c r="A258" s="163" t="s">
        <v>138</v>
      </c>
      <c r="B258" s="34">
        <v>0</v>
      </c>
      <c r="C258" s="34">
        <v>1</v>
      </c>
      <c r="D258" s="34">
        <v>2</v>
      </c>
      <c r="E258" s="34">
        <v>3</v>
      </c>
      <c r="F258" s="34">
        <v>4</v>
      </c>
      <c r="G258" s="34">
        <v>5</v>
      </c>
      <c r="H258" s="34">
        <v>6</v>
      </c>
      <c r="I258" s="34">
        <v>7</v>
      </c>
      <c r="J258" s="34">
        <v>8</v>
      </c>
      <c r="K258" s="34">
        <v>9</v>
      </c>
      <c r="L258" s="34">
        <v>10</v>
      </c>
      <c r="M258" s="34">
        <v>11</v>
      </c>
    </row>
    <row r="259" spans="1:13" ht="15.75">
      <c r="A259" s="41" t="s">
        <v>53</v>
      </c>
      <c r="B259" s="34" t="s">
        <v>47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5.75">
      <c r="A260" s="41">
        <v>0</v>
      </c>
      <c r="B260" s="71">
        <f t="shared" ref="B260:M260" si="122">IF(C221&gt;0,(1+$D$4)*(($D$11*C221+(1-$D$11)*C222)/(($D$11*C221+(1-$D$11)*C222)-((C221-C222)/((1+$D$9)-1/(1+$D$9))*($D$5-$D$4))))-1,"NA")</f>
        <v>3.82072230591044E-2</v>
      </c>
      <c r="C260" s="71">
        <f t="shared" si="122"/>
        <v>3.5798221840044331E-2</v>
      </c>
      <c r="D260" s="71">
        <f t="shared" si="122"/>
        <v>3.3317352673731815E-2</v>
      </c>
      <c r="E260" s="71">
        <f t="shared" si="122"/>
        <v>2.9831137901114024E-2</v>
      </c>
      <c r="F260" s="71">
        <f t="shared" si="122"/>
        <v>2.5555434159535428E-2</v>
      </c>
      <c r="G260" s="71">
        <f t="shared" si="122"/>
        <v>2.2132177318782364E-2</v>
      </c>
      <c r="H260" s="71">
        <f t="shared" si="122"/>
        <v>1.9701445823494756E-2</v>
      </c>
      <c r="I260" s="71">
        <f t="shared" si="122"/>
        <v>1.7888179408210192E-2</v>
      </c>
      <c r="J260" s="71">
        <f t="shared" si="122"/>
        <v>1.6485141553099103E-2</v>
      </c>
      <c r="K260" s="71">
        <f t="shared" si="122"/>
        <v>1.5368494922589182E-2</v>
      </c>
      <c r="L260" s="71">
        <f t="shared" si="122"/>
        <v>1.4459682217419445E-2</v>
      </c>
      <c r="M260" s="71">
        <f t="shared" si="122"/>
        <v>1.3706463551892645E-2</v>
      </c>
    </row>
    <row r="261" spans="1:13" ht="15.75">
      <c r="A261" s="41">
        <f t="shared" ref="A261:A272" si="123">1+A260</f>
        <v>1</v>
      </c>
      <c r="B261" s="34"/>
      <c r="C261" s="71">
        <f t="shared" ref="C261:M261" si="124">IF(D222&gt;0,(1+$D$4)*(($D$11*D222+(1-$D$11)*D223)/(($D$11*D222+(1-$D$11)*D223)-((D222-D223)/((1+$D$9)-1/(1+$D$9))*($D$5-$D$4))))-1,"NA")</f>
        <v>4.4054006274593771E-2</v>
      </c>
      <c r="D261" s="71">
        <f t="shared" si="124"/>
        <v>4.1443704399981574E-2</v>
      </c>
      <c r="E261" s="71">
        <f t="shared" si="124"/>
        <v>3.8649715424116549E-2</v>
      </c>
      <c r="F261" s="71">
        <f t="shared" si="124"/>
        <v>3.5700529897088051E-2</v>
      </c>
      <c r="G261" s="71">
        <f t="shared" si="124"/>
        <v>3.1636815420083453E-2</v>
      </c>
      <c r="H261" s="71">
        <f t="shared" si="124"/>
        <v>2.6724475352232435E-2</v>
      </c>
      <c r="I261" s="71">
        <f t="shared" si="124"/>
        <v>2.2931221486255593E-2</v>
      </c>
      <c r="J261" s="71">
        <f t="shared" si="124"/>
        <v>2.028133245442354E-2</v>
      </c>
      <c r="K261" s="71">
        <f t="shared" si="124"/>
        <v>1.8327643296635943E-2</v>
      </c>
      <c r="L261" s="71">
        <f t="shared" si="124"/>
        <v>1.6829266682200528E-2</v>
      </c>
      <c r="M261" s="71">
        <f t="shared" si="124"/>
        <v>1.564494579641007E-2</v>
      </c>
    </row>
    <row r="262" spans="1:13" ht="15.75">
      <c r="A262" s="41">
        <f t="shared" si="123"/>
        <v>2</v>
      </c>
      <c r="B262" s="34"/>
      <c r="C262" s="34"/>
      <c r="D262" s="71">
        <f t="shared" ref="D262:M262" si="125">IF(E223&gt;0,(1+$D$4)*(($D$11*E223+(1-$D$11)*E224)/(($D$11*E223+(1-$D$11)*E224)-((E223-E224)/((1+$D$9)-1/(1+$D$9))*($D$5-$D$4))))-1,"NA")</f>
        <v>5.1520099316991086E-2</v>
      </c>
      <c r="E262" s="71">
        <f t="shared" si="125"/>
        <v>4.885905395245449E-2</v>
      </c>
      <c r="F262" s="71">
        <f t="shared" si="125"/>
        <v>4.5894128148479485E-2</v>
      </c>
      <c r="G262" s="71">
        <f t="shared" si="125"/>
        <v>4.2607196019209592E-2</v>
      </c>
      <c r="H262" s="71">
        <f t="shared" si="125"/>
        <v>3.9005872595829327E-2</v>
      </c>
      <c r="I262" s="71">
        <f t="shared" si="125"/>
        <v>3.3984564227448555E-2</v>
      </c>
      <c r="J262" s="71">
        <f t="shared" si="125"/>
        <v>2.8036631770589793E-2</v>
      </c>
      <c r="K262" s="71">
        <f t="shared" si="125"/>
        <v>2.3810151596025175E-2</v>
      </c>
      <c r="L262" s="71">
        <f t="shared" si="125"/>
        <v>2.0910264401509338E-2</v>
      </c>
      <c r="M262" s="71">
        <f t="shared" si="125"/>
        <v>1.8799349637710572E-2</v>
      </c>
    </row>
    <row r="263" spans="1:13" ht="15.75">
      <c r="A263" s="41">
        <f t="shared" si="123"/>
        <v>3</v>
      </c>
      <c r="B263" s="34"/>
      <c r="C263" s="34"/>
      <c r="D263" s="34"/>
      <c r="E263" s="71">
        <f t="shared" ref="E263:M263" si="126">IF(F224&gt;0,(1+$D$4)*(($D$11*F224+(1-$D$11)*F225)/(($D$11*F224+(1-$D$11)*F225)-((F224-F225)/((1+$D$9)-1/(1+$D$9))*($D$5-$D$4))))-1,"NA")</f>
        <v>6.1108502140900356E-2</v>
      </c>
      <c r="F263" s="71">
        <f t="shared" si="126"/>
        <v>5.866622245361941E-2</v>
      </c>
      <c r="G263" s="71">
        <f t="shared" si="126"/>
        <v>5.5821220382837877E-2</v>
      </c>
      <c r="H263" s="71">
        <f t="shared" si="126"/>
        <v>5.2486205167458166E-2</v>
      </c>
      <c r="I263" s="71">
        <f t="shared" si="126"/>
        <v>4.8564538453209627E-2</v>
      </c>
      <c r="J263" s="71">
        <f t="shared" si="126"/>
        <v>4.3975809953175293E-2</v>
      </c>
      <c r="K263" s="71">
        <f t="shared" si="126"/>
        <v>3.7235002203651613E-2</v>
      </c>
      <c r="L263" s="71">
        <f t="shared" si="126"/>
        <v>2.951975819521202E-2</v>
      </c>
      <c r="M263" s="71">
        <f t="shared" si="126"/>
        <v>2.4781488049056888E-2</v>
      </c>
    </row>
    <row r="264" spans="1:13" ht="15.75">
      <c r="A264" s="41">
        <f t="shared" si="123"/>
        <v>4</v>
      </c>
      <c r="B264" s="34"/>
      <c r="C264" s="34"/>
      <c r="D264" s="34"/>
      <c r="E264" s="34"/>
      <c r="F264" s="71">
        <f t="shared" ref="F264:M264" si="127">IF(G225&gt;0,(1+$D$4)*(($D$11*G225+(1-$D$11)*G226)/(($D$11*G225+(1-$D$11)*G226)-((G225-G226)/((1+$D$9)-1/(1+$D$9))*($D$5-$D$4))))-1,"NA")</f>
        <v>7.3600152304535094E-2</v>
      </c>
      <c r="G264" s="71">
        <f t="shared" si="127"/>
        <v>7.1875019114156835E-2</v>
      </c>
      <c r="H264" s="71">
        <f t="shared" si="127"/>
        <v>6.9752663216089195E-2</v>
      </c>
      <c r="I264" s="71">
        <f t="shared" si="127"/>
        <v>6.7078040107468206E-2</v>
      </c>
      <c r="J264" s="71">
        <f t="shared" si="127"/>
        <v>6.3603347229759688E-2</v>
      </c>
      <c r="K264" s="71">
        <f t="shared" si="127"/>
        <v>5.8906456549875141E-2</v>
      </c>
      <c r="L264" s="71">
        <f t="shared" si="127"/>
        <v>5.2204906860061406E-2</v>
      </c>
      <c r="M264" s="71">
        <f t="shared" si="127"/>
        <v>4.0304952448710463E-2</v>
      </c>
    </row>
    <row r="265" spans="1:13" ht="15.75">
      <c r="A265" s="41">
        <f t="shared" si="123"/>
        <v>5</v>
      </c>
      <c r="B265" s="34"/>
      <c r="C265" s="34"/>
      <c r="D265" s="34"/>
      <c r="E265" s="34"/>
      <c r="F265" s="34"/>
      <c r="G265" s="71">
        <f t="shared" ref="G265:M265" si="128">IF(H226&gt;0,(1+$D$4)*(($D$11*H226+(1-$D$11)*H227)/(($D$11*H226+(1-$D$11)*H227)-((H226-H227)/((1+$D$9)-1/(1+$D$9))*($D$5-$D$4))))-1,"NA")</f>
        <v>9.0309748703761183E-2</v>
      </c>
      <c r="H265" s="71">
        <f t="shared" si="128"/>
        <v>9.0309748703761406E-2</v>
      </c>
      <c r="I265" s="71">
        <f t="shared" si="128"/>
        <v>9.0309748703761406E-2</v>
      </c>
      <c r="J265" s="71">
        <f t="shared" si="128"/>
        <v>9.0309748703761183E-2</v>
      </c>
      <c r="K265" s="71">
        <f t="shared" si="128"/>
        <v>9.0309748703761183E-2</v>
      </c>
      <c r="L265" s="71">
        <f t="shared" si="128"/>
        <v>9.0309748703761406E-2</v>
      </c>
      <c r="M265" s="71">
        <f t="shared" si="128"/>
        <v>9.0309748703761406E-2</v>
      </c>
    </row>
    <row r="266" spans="1:13" ht="15.75">
      <c r="A266" s="41">
        <f t="shared" si="123"/>
        <v>6</v>
      </c>
      <c r="B266" s="34"/>
      <c r="C266" s="34"/>
      <c r="D266" s="34"/>
      <c r="E266" s="34"/>
      <c r="F266" s="34"/>
      <c r="G266" s="34"/>
      <c r="H266" s="71" t="str">
        <f t="shared" ref="H266:M266" si="129">IF(I227&gt;0,(1+$D$4)*(($D$11*I227+(1-$D$11)*I228)/(($D$11*I227+(1-$D$11)*I228)-((I227-I228)/((1+$D$9)-1/(1+$D$9))*($D$5-$D$4))))-1,"NA")</f>
        <v>NA</v>
      </c>
      <c r="I266" s="71" t="str">
        <f t="shared" si="129"/>
        <v>NA</v>
      </c>
      <c r="J266" s="71" t="str">
        <f t="shared" si="129"/>
        <v>NA</v>
      </c>
      <c r="K266" s="71" t="str">
        <f t="shared" si="129"/>
        <v>NA</v>
      </c>
      <c r="L266" s="71" t="str">
        <f t="shared" si="129"/>
        <v>NA</v>
      </c>
      <c r="M266" s="71" t="str">
        <f t="shared" si="129"/>
        <v>NA</v>
      </c>
    </row>
    <row r="267" spans="1:13" ht="15.75">
      <c r="A267" s="41">
        <f t="shared" si="123"/>
        <v>7</v>
      </c>
      <c r="B267" s="34"/>
      <c r="C267" s="34"/>
      <c r="D267" s="34"/>
      <c r="E267" s="34"/>
      <c r="F267" s="34"/>
      <c r="G267" s="34"/>
      <c r="H267" s="34"/>
      <c r="I267" s="71" t="str">
        <f>IF(J228&gt;0,(1+$D$4)*(($D$11*J228+(1-$D$11)*J229)/(($D$11*J228+(1-$D$11)*J229)-((J228-J229)/((1+$D$9)-1/(1+$D$9))*($D$5-$D$4))))-1,"NA")</f>
        <v>NA</v>
      </c>
      <c r="J267" s="71" t="str">
        <f>IF(K228&gt;0,(1+$D$4)*(($D$11*K228+(1-$D$11)*K229)/(($D$11*K228+(1-$D$11)*K229)-((K228-K229)/((1+$D$9)-1/(1+$D$9))*($D$5-$D$4))))-1,"NA")</f>
        <v>NA</v>
      </c>
      <c r="K267" s="71" t="str">
        <f>IF(L228&gt;0,(1+$D$4)*(($D$11*L228+(1-$D$11)*L229)/(($D$11*L228+(1-$D$11)*L229)-((L228-L229)/((1+$D$9)-1/(1+$D$9))*($D$5-$D$4))))-1,"NA")</f>
        <v>NA</v>
      </c>
      <c r="L267" s="71" t="str">
        <f>IF(M228&gt;0,(1+$D$4)*(($D$11*M228+(1-$D$11)*M229)/(($D$11*M228+(1-$D$11)*M229)-((M228-M229)/((1+$D$9)-1/(1+$D$9))*($D$5-$D$4))))-1,"NA")</f>
        <v>NA</v>
      </c>
      <c r="M267" s="71" t="str">
        <f>IF(N228&gt;0,(1+$D$4)*(($D$11*N228+(1-$D$11)*N229)/(($D$11*N228+(1-$D$11)*N229)-((N228-N229)/((1+$D$9)-1/(1+$D$9))*($D$5-$D$4))))-1,"NA")</f>
        <v>NA</v>
      </c>
    </row>
    <row r="268" spans="1:13" ht="15.75">
      <c r="A268" s="41">
        <f t="shared" si="123"/>
        <v>8</v>
      </c>
      <c r="B268" s="34"/>
      <c r="C268" s="34"/>
      <c r="D268" s="34"/>
      <c r="E268" s="34"/>
      <c r="F268" s="34"/>
      <c r="G268" s="34"/>
      <c r="H268" s="34"/>
      <c r="I268" s="34"/>
      <c r="J268" s="71" t="str">
        <f>IF(K229&gt;0,(1+$D$4)*(($D$11*K229+(1-$D$11)*K230)/(($D$11*K229+(1-$D$11)*K230)-((K229-K230)/((1+$D$9)-1/(1+$D$9))*($D$5-$D$4))))-1,"NA")</f>
        <v>NA</v>
      </c>
      <c r="K268" s="71" t="str">
        <f>IF(L229&gt;0,(1+$D$4)*(($D$11*L229+(1-$D$11)*L230)/(($D$11*L229+(1-$D$11)*L230)-((L229-L230)/((1+$D$9)-1/(1+$D$9))*($D$5-$D$4))))-1,"NA")</f>
        <v>NA</v>
      </c>
      <c r="L268" s="71" t="str">
        <f>IF(M229&gt;0,(1+$D$4)*(($D$11*M229+(1-$D$11)*M230)/(($D$11*M229+(1-$D$11)*M230)-((M229-M230)/((1+$D$9)-1/(1+$D$9))*($D$5-$D$4))))-1,"NA")</f>
        <v>NA</v>
      </c>
      <c r="M268" s="71" t="str">
        <f>IF(N229&gt;0,(1+$D$4)*(($D$11*N229+(1-$D$11)*N230)/(($D$11*N229+(1-$D$11)*N230)-((N229-N230)/((1+$D$9)-1/(1+$D$9))*($D$5-$D$4))))-1,"NA")</f>
        <v>NA</v>
      </c>
    </row>
    <row r="269" spans="1:13" ht="15.75">
      <c r="A269" s="41">
        <f t="shared" si="123"/>
        <v>9</v>
      </c>
      <c r="B269" s="34"/>
      <c r="C269" s="34"/>
      <c r="D269" s="34"/>
      <c r="E269" s="34"/>
      <c r="F269" s="34"/>
      <c r="G269" s="34"/>
      <c r="H269" s="34"/>
      <c r="I269" s="34"/>
      <c r="J269" s="35"/>
      <c r="K269" s="71" t="str">
        <f>IF(L230&gt;0,(1+$D$4)*(($D$11*L230+(1-$D$11)*L231)/(($D$11*L230+(1-$D$11)*L231)-((L230-L231)/((1+$D$9)-1/(1+$D$9))*($D$5-$D$4))))-1,"NA")</f>
        <v>NA</v>
      </c>
      <c r="L269" s="71" t="str">
        <f>IF(M230&gt;0,(1+$D$4)*(($D$11*M230+(1-$D$11)*M231)/(($D$11*M230+(1-$D$11)*M231)-((M230-M231)/((1+$D$9)-1/(1+$D$9))*($D$5-$D$4))))-1,"NA")</f>
        <v>NA</v>
      </c>
      <c r="M269" s="71" t="str">
        <f>IF(N230&gt;0,(1+$D$4)*(($D$11*N230+(1-$D$11)*N231)/(($D$11*N230+(1-$D$11)*N231)-((N230-N231)/((1+$D$9)-1/(1+$D$9))*($D$5-$D$4))))-1,"NA")</f>
        <v>NA</v>
      </c>
    </row>
    <row r="270" spans="1:13" ht="15.75">
      <c r="A270" s="41">
        <f t="shared" si="123"/>
        <v>10</v>
      </c>
      <c r="B270" s="34"/>
      <c r="C270" s="34"/>
      <c r="D270" s="34"/>
      <c r="E270" s="34"/>
      <c r="F270" s="34"/>
      <c r="G270" s="34"/>
      <c r="H270" s="34"/>
      <c r="I270" s="34"/>
      <c r="J270" s="35"/>
      <c r="K270" s="35"/>
      <c r="L270" s="71" t="str">
        <f>IF(M231&gt;0,(1+$D$4)*(($D$11*M231+(1-$D$11)*M232)/(($D$11*M231+(1-$D$11)*M232)-((M231-M232)/((1+$D$9)-1/(1+$D$9))*($D$5-$D$4))))-1,"NA")</f>
        <v>NA</v>
      </c>
      <c r="M270" s="71" t="str">
        <f>IF(N231&gt;0,(1+$D$4)*(($D$11*N231+(1-$D$11)*N232)/(($D$11*N231+(1-$D$11)*N232)-((N231-N232)/((1+$D$9)-1/(1+$D$9))*($D$5-$D$4))))-1,"NA")</f>
        <v>NA</v>
      </c>
    </row>
    <row r="271" spans="1:13" ht="15.75">
      <c r="A271" s="41">
        <f t="shared" si="123"/>
        <v>11</v>
      </c>
      <c r="B271" s="34"/>
      <c r="C271" s="34"/>
      <c r="D271" s="34"/>
      <c r="E271" s="34"/>
      <c r="F271" s="34"/>
      <c r="G271" s="34"/>
      <c r="H271" s="34"/>
      <c r="I271" s="34"/>
      <c r="J271" s="35"/>
      <c r="K271" s="35"/>
      <c r="L271" s="35"/>
      <c r="M271" s="71" t="str">
        <f>IF(N232&gt;0,(1+$D$4)*(($D$11*N232+(1-$D$11)*N233)/(($D$11*N232+(1-$D$11)*N233)-((N232-N233)/((1+$D$9)-1/(1+$D$9))*($D$5-$D$4))))-1,"NA")</f>
        <v>NA</v>
      </c>
    </row>
    <row r="272" spans="1:13" ht="15.75">
      <c r="A272" s="41">
        <f t="shared" si="123"/>
        <v>12</v>
      </c>
    </row>
    <row r="274" spans="1:13" ht="15.75">
      <c r="B274" s="34" t="s">
        <v>51</v>
      </c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</row>
    <row r="275" spans="1:13" ht="15.75">
      <c r="A275" s="163" t="s">
        <v>138</v>
      </c>
      <c r="B275" s="34">
        <v>0</v>
      </c>
      <c r="C275" s="34">
        <v>1</v>
      </c>
      <c r="D275" s="34">
        <v>2</v>
      </c>
      <c r="E275" s="34">
        <v>3</v>
      </c>
      <c r="F275" s="34">
        <v>4</v>
      </c>
      <c r="G275" s="34">
        <v>5</v>
      </c>
      <c r="H275" s="34">
        <v>6</v>
      </c>
      <c r="I275" s="34">
        <v>7</v>
      </c>
      <c r="J275" s="34">
        <v>8</v>
      </c>
      <c r="K275" s="34">
        <v>9</v>
      </c>
      <c r="L275" s="34">
        <v>10</v>
      </c>
      <c r="M275" s="34">
        <v>11</v>
      </c>
    </row>
    <row r="276" spans="1:13" ht="15.75">
      <c r="A276" s="41" t="s">
        <v>53</v>
      </c>
      <c r="B276" s="34" t="s">
        <v>48</v>
      </c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</row>
    <row r="277" spans="1:13" ht="15.75">
      <c r="A277" s="41">
        <v>0</v>
      </c>
      <c r="B277" s="73">
        <f t="shared" ref="B277:M277" si="130">IF(C221&gt;0,(1+B260)^(1/$B$3)-1,"NA")</f>
        <v>0.56822564861321045</v>
      </c>
      <c r="C277" s="73">
        <f t="shared" si="130"/>
        <v>0.52511268578863324</v>
      </c>
      <c r="D277" s="73">
        <f t="shared" si="130"/>
        <v>0.48185145726824286</v>
      </c>
      <c r="E277" s="73">
        <f t="shared" si="130"/>
        <v>0.42295847900814243</v>
      </c>
      <c r="F277" s="73">
        <f t="shared" si="130"/>
        <v>0.35366026878550239</v>
      </c>
      <c r="G277" s="73">
        <f t="shared" si="130"/>
        <v>0.30042324583585267</v>
      </c>
      <c r="H277" s="73">
        <f t="shared" si="130"/>
        <v>0.26379438365966323</v>
      </c>
      <c r="I277" s="73">
        <f t="shared" si="130"/>
        <v>0.2370887341895207</v>
      </c>
      <c r="J277" s="73">
        <f t="shared" si="130"/>
        <v>0.21678099208407464</v>
      </c>
      <c r="K277" s="73">
        <f t="shared" si="130"/>
        <v>0.20083740330359756</v>
      </c>
      <c r="L277" s="73">
        <f t="shared" si="130"/>
        <v>0.18800289233572864</v>
      </c>
      <c r="M277" s="73">
        <f t="shared" si="130"/>
        <v>0.17746115267621709</v>
      </c>
    </row>
    <row r="278" spans="1:13" ht="15.75">
      <c r="A278" s="41">
        <f t="shared" ref="A278:A289" si="131">1+A277</f>
        <v>1</v>
      </c>
      <c r="B278" s="74"/>
      <c r="C278" s="73">
        <f t="shared" ref="C278:M278" si="132">IF(D222&gt;0,(1+C261)^(1/$B$3)-1,"NA")</f>
        <v>0.6775503750465266</v>
      </c>
      <c r="D278" s="73">
        <f t="shared" si="132"/>
        <v>0.62790698919342924</v>
      </c>
      <c r="E278" s="73">
        <f t="shared" si="132"/>
        <v>0.57626516336068812</v>
      </c>
      <c r="F278" s="73">
        <f t="shared" si="132"/>
        <v>0.52338747766722826</v>
      </c>
      <c r="G278" s="73">
        <f t="shared" si="132"/>
        <v>0.45318861213513961</v>
      </c>
      <c r="H278" s="73">
        <f t="shared" si="132"/>
        <v>0.3722934163076701</v>
      </c>
      <c r="I278" s="73">
        <f t="shared" si="132"/>
        <v>0.31267498752671563</v>
      </c>
      <c r="J278" s="73">
        <f t="shared" si="132"/>
        <v>0.27244578671198538</v>
      </c>
      <c r="K278" s="73">
        <f t="shared" si="132"/>
        <v>0.24351319590275455</v>
      </c>
      <c r="L278" s="73">
        <f t="shared" si="132"/>
        <v>0.22173341618399589</v>
      </c>
      <c r="M278" s="73">
        <f t="shared" si="132"/>
        <v>0.20476665799490279</v>
      </c>
    </row>
    <row r="279" spans="1:13" ht="15.75">
      <c r="A279" s="41">
        <f t="shared" si="131"/>
        <v>2</v>
      </c>
      <c r="B279" s="74"/>
      <c r="C279" s="74"/>
      <c r="D279" s="73">
        <f t="shared" ref="D279:M279" si="133">IF(E223&gt;0,(1+D262)^(1/$B$3)-1,"NA")</f>
        <v>0.82730457374247268</v>
      </c>
      <c r="E279" s="73">
        <f t="shared" si="133"/>
        <v>0.77257890933655737</v>
      </c>
      <c r="F279" s="73">
        <f t="shared" si="133"/>
        <v>0.71337607195698283</v>
      </c>
      <c r="G279" s="73">
        <f t="shared" si="133"/>
        <v>0.64986578778477222</v>
      </c>
      <c r="H279" s="73">
        <f t="shared" si="133"/>
        <v>0.58276350203830574</v>
      </c>
      <c r="I279" s="73">
        <f t="shared" si="133"/>
        <v>0.49337427419436564</v>
      </c>
      <c r="J279" s="73">
        <f t="shared" si="133"/>
        <v>0.39348751019113659</v>
      </c>
      <c r="K279" s="73">
        <f t="shared" si="133"/>
        <v>0.32627376159406496</v>
      </c>
      <c r="L279" s="73">
        <f t="shared" si="133"/>
        <v>0.2818902480846035</v>
      </c>
      <c r="M279" s="73">
        <f t="shared" si="133"/>
        <v>0.25044302577533273</v>
      </c>
    </row>
    <row r="280" spans="1:13" ht="15.75">
      <c r="A280" s="41">
        <f t="shared" si="131"/>
        <v>3</v>
      </c>
      <c r="B280" s="74"/>
      <c r="C280" s="74"/>
      <c r="D280" s="74"/>
      <c r="E280" s="73">
        <f t="shared" ref="E280:M280" si="134">IF(F224&gt;0,(1+E263)^(1/$B$3)-1,"NA")</f>
        <v>1.0375934319558731</v>
      </c>
      <c r="F280" s="73">
        <f t="shared" si="134"/>
        <v>0.98202296265747657</v>
      </c>
      <c r="G280" s="73">
        <f t="shared" si="134"/>
        <v>0.91904269406556027</v>
      </c>
      <c r="H280" s="73">
        <f t="shared" si="134"/>
        <v>0.84755317785806983</v>
      </c>
      <c r="I280" s="73">
        <f t="shared" si="134"/>
        <v>0.76661532669274801</v>
      </c>
      <c r="J280" s="73">
        <f t="shared" si="134"/>
        <v>0.67604327777647399</v>
      </c>
      <c r="K280" s="73">
        <f t="shared" si="134"/>
        <v>0.55069350154180263</v>
      </c>
      <c r="L280" s="73">
        <f t="shared" si="134"/>
        <v>0.41780410814318447</v>
      </c>
      <c r="M280" s="73">
        <f t="shared" si="134"/>
        <v>0.34145237596919054</v>
      </c>
    </row>
    <row r="281" spans="1:13" ht="15.75">
      <c r="A281" s="41">
        <f t="shared" si="131"/>
        <v>4</v>
      </c>
      <c r="B281" s="74"/>
      <c r="C281" s="74"/>
      <c r="D281" s="74"/>
      <c r="E281" s="74"/>
      <c r="F281" s="73">
        <f t="shared" ref="F281:M281" si="135">IF(G225&gt;0,(1+F264)^(1/$B$3)-1,"NA")</f>
        <v>1.344826821779828</v>
      </c>
      <c r="G281" s="73">
        <f t="shared" si="135"/>
        <v>1.3000103673200574</v>
      </c>
      <c r="H281" s="73">
        <f t="shared" si="135"/>
        <v>1.2459522376291337</v>
      </c>
      <c r="I281" s="73">
        <f t="shared" si="135"/>
        <v>1.1794865306860518</v>
      </c>
      <c r="J281" s="73">
        <f t="shared" si="135"/>
        <v>1.0958314108943501</v>
      </c>
      <c r="K281" s="73">
        <f t="shared" si="135"/>
        <v>0.98742686657137102</v>
      </c>
      <c r="L281" s="73">
        <f t="shared" si="135"/>
        <v>0.84163632740564731</v>
      </c>
      <c r="M281" s="73">
        <f t="shared" si="135"/>
        <v>0.60667483621171803</v>
      </c>
    </row>
    <row r="282" spans="1:13" ht="15.75">
      <c r="A282" s="41">
        <f t="shared" si="131"/>
        <v>5</v>
      </c>
      <c r="B282" s="74"/>
      <c r="C282" s="74"/>
      <c r="D282" s="74"/>
      <c r="E282" s="74"/>
      <c r="F282" s="74"/>
      <c r="G282" s="73">
        <f t="shared" ref="G282:M282" si="136">IF(H226&gt;0,(1+G265)^(1/$B$3)-1,"NA")</f>
        <v>1.8222711917093641</v>
      </c>
      <c r="H282" s="73">
        <f t="shared" si="136"/>
        <v>1.8222711917093708</v>
      </c>
      <c r="I282" s="73">
        <f t="shared" si="136"/>
        <v>1.8222711917093708</v>
      </c>
      <c r="J282" s="73">
        <f t="shared" si="136"/>
        <v>1.8222711917093641</v>
      </c>
      <c r="K282" s="73">
        <f t="shared" si="136"/>
        <v>1.8222711917093641</v>
      </c>
      <c r="L282" s="73">
        <f t="shared" si="136"/>
        <v>1.8222711917093708</v>
      </c>
      <c r="M282" s="73">
        <f t="shared" si="136"/>
        <v>1.8222711917093708</v>
      </c>
    </row>
    <row r="283" spans="1:13" ht="15.75">
      <c r="A283" s="41">
        <f t="shared" si="131"/>
        <v>6</v>
      </c>
      <c r="B283" s="74"/>
      <c r="C283" s="74"/>
      <c r="D283" s="74"/>
      <c r="E283" s="74"/>
      <c r="F283" s="74"/>
      <c r="G283" s="74"/>
      <c r="H283" s="73" t="str">
        <f t="shared" ref="H283:M283" si="137">IF(I227&gt;0,(1+H266)^(1/$B$3)-1,"NA")</f>
        <v>NA</v>
      </c>
      <c r="I283" s="73" t="str">
        <f t="shared" si="137"/>
        <v>NA</v>
      </c>
      <c r="J283" s="73" t="str">
        <f t="shared" si="137"/>
        <v>NA</v>
      </c>
      <c r="K283" s="73" t="str">
        <f t="shared" si="137"/>
        <v>NA</v>
      </c>
      <c r="L283" s="73" t="str">
        <f t="shared" si="137"/>
        <v>NA</v>
      </c>
      <c r="M283" s="73" t="str">
        <f t="shared" si="137"/>
        <v>NA</v>
      </c>
    </row>
    <row r="284" spans="1:13" ht="15.75">
      <c r="A284" s="41">
        <f t="shared" si="131"/>
        <v>7</v>
      </c>
      <c r="B284" s="74"/>
      <c r="C284" s="74"/>
      <c r="D284" s="74"/>
      <c r="E284" s="74"/>
      <c r="F284" s="74"/>
      <c r="G284" s="74"/>
      <c r="H284" s="74"/>
      <c r="I284" s="73" t="str">
        <f>IF(J228&gt;0,(1+I267)^(1/$B$3)-1,"NA")</f>
        <v>NA</v>
      </c>
      <c r="J284" s="73" t="str">
        <f>IF(K228&gt;0,(1+J267)^(1/$B$3)-1,"NA")</f>
        <v>NA</v>
      </c>
      <c r="K284" s="73" t="str">
        <f>IF(L228&gt;0,(1+K267)^(1/$B$3)-1,"NA")</f>
        <v>NA</v>
      </c>
      <c r="L284" s="73" t="str">
        <f>IF(M228&gt;0,(1+L267)^(1/$B$3)-1,"NA")</f>
        <v>NA</v>
      </c>
      <c r="M284" s="73" t="str">
        <f>IF(N228&gt;0,(1+M267)^(1/$B$3)-1,"NA")</f>
        <v>NA</v>
      </c>
    </row>
    <row r="285" spans="1:13" ht="15.75">
      <c r="A285" s="41">
        <f t="shared" si="131"/>
        <v>8</v>
      </c>
      <c r="B285" s="74"/>
      <c r="C285" s="74"/>
      <c r="D285" s="74"/>
      <c r="E285" s="74"/>
      <c r="F285" s="74"/>
      <c r="G285" s="74"/>
      <c r="H285" s="74"/>
      <c r="I285" s="74"/>
      <c r="J285" s="73" t="str">
        <f>IF(K229&gt;0,(1+J268)^(1/$B$3)-1,"NA")</f>
        <v>NA</v>
      </c>
      <c r="K285" s="73" t="str">
        <f>IF(L229&gt;0,(1+K268)^(1/$B$3)-1,"NA")</f>
        <v>NA</v>
      </c>
      <c r="L285" s="73" t="str">
        <f>IF(M229&gt;0,(1+L268)^(1/$B$3)-1,"NA")</f>
        <v>NA</v>
      </c>
      <c r="M285" s="73" t="str">
        <f>IF(N229&gt;0,(1+M268)^(1/$B$3)-1,"NA")</f>
        <v>NA</v>
      </c>
    </row>
    <row r="286" spans="1:13" ht="15.75">
      <c r="A286" s="41">
        <f t="shared" si="131"/>
        <v>9</v>
      </c>
      <c r="B286" s="74"/>
      <c r="C286" s="74"/>
      <c r="D286" s="74"/>
      <c r="E286" s="74"/>
      <c r="F286" s="74"/>
      <c r="G286" s="74"/>
      <c r="H286" s="74"/>
      <c r="I286" s="74"/>
      <c r="J286" s="74"/>
      <c r="K286" s="73" t="str">
        <f>IF(L230&gt;0,(1+K269)^(1/$B$3)-1,"NA")</f>
        <v>NA</v>
      </c>
      <c r="L286" s="73" t="str">
        <f>IF(M230&gt;0,(1+L269)^(1/$B$3)-1,"NA")</f>
        <v>NA</v>
      </c>
      <c r="M286" s="73" t="str">
        <f>IF(N230&gt;0,(1+M269)^(1/$B$3)-1,"NA")</f>
        <v>NA</v>
      </c>
    </row>
    <row r="287" spans="1:13" ht="15.75">
      <c r="A287" s="41">
        <f t="shared" si="131"/>
        <v>10</v>
      </c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3" t="str">
        <f>IF(M231&gt;0,(1+L270)^(1/$B$3)-1,"NA")</f>
        <v>NA</v>
      </c>
      <c r="M287" s="73" t="str">
        <f>IF(N231&gt;0,(1+M270)^(1/$B$3)-1,"NA")</f>
        <v>NA</v>
      </c>
    </row>
    <row r="288" spans="1:13" ht="15.75">
      <c r="A288" s="41">
        <f t="shared" si="131"/>
        <v>11</v>
      </c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3" t="str">
        <f>IF(N232&gt;0,(1+M271)^(1/$B$3)-1,"NA")</f>
        <v>NA</v>
      </c>
    </row>
    <row r="289" spans="1:14" ht="15.75">
      <c r="A289" s="41">
        <f t="shared" si="131"/>
        <v>12</v>
      </c>
    </row>
    <row r="291" spans="1:14" ht="15.75">
      <c r="A291" s="163" t="s">
        <v>139</v>
      </c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</row>
    <row r="292" spans="1:14" ht="15.75">
      <c r="A292" s="35" t="str">
        <f t="shared" ref="A292:N292" si="138">A183</f>
        <v>Period ("j"):</v>
      </c>
      <c r="B292" s="34">
        <f t="shared" si="138"/>
        <v>0</v>
      </c>
      <c r="C292" s="34">
        <f t="shared" si="138"/>
        <v>1</v>
      </c>
      <c r="D292" s="34">
        <f t="shared" si="138"/>
        <v>2</v>
      </c>
      <c r="E292" s="34">
        <f t="shared" si="138"/>
        <v>3</v>
      </c>
      <c r="F292" s="34">
        <f t="shared" si="138"/>
        <v>4</v>
      </c>
      <c r="G292" s="34">
        <f t="shared" si="138"/>
        <v>5</v>
      </c>
      <c r="H292" s="34">
        <f t="shared" si="138"/>
        <v>6</v>
      </c>
      <c r="I292" s="34">
        <f t="shared" si="138"/>
        <v>7</v>
      </c>
      <c r="J292" s="34">
        <f t="shared" si="138"/>
        <v>8</v>
      </c>
      <c r="K292" s="34">
        <f t="shared" si="138"/>
        <v>9</v>
      </c>
      <c r="L292" s="34">
        <f t="shared" si="138"/>
        <v>10</v>
      </c>
      <c r="M292" s="34">
        <f t="shared" si="138"/>
        <v>11</v>
      </c>
      <c r="N292" s="35" t="str">
        <f t="shared" si="138"/>
        <v>n = 12</v>
      </c>
    </row>
    <row r="293" spans="1:14" ht="15.75">
      <c r="A293" s="41" t="str">
        <f t="shared" ref="A293:A306" si="139">A184</f>
        <v>"down" moves ("i"):</v>
      </c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</row>
    <row r="294" spans="1:14" ht="15.75">
      <c r="A294" s="41">
        <f t="shared" si="139"/>
        <v>0</v>
      </c>
      <c r="B294" s="43">
        <f t="shared" ref="B294:M294" si="140">(1/(1+$D$4))*(($D$11*C294+(1-$D$11)*C295)-((C294-C295)/((1+$D$9)-1/(1+$D$9)))*($D$5-$D$4))</f>
        <v>6.7734743816635445</v>
      </c>
      <c r="C294" s="43">
        <f t="shared" si="140"/>
        <v>9.3529343139978405</v>
      </c>
      <c r="D294" s="43">
        <f t="shared" si="140"/>
        <v>12.640951775858875</v>
      </c>
      <c r="E294" s="43">
        <f t="shared" si="140"/>
        <v>16.698572348301528</v>
      </c>
      <c r="F294" s="43">
        <f t="shared" si="140"/>
        <v>21.535678014294078</v>
      </c>
      <c r="G294" s="43">
        <f t="shared" si="140"/>
        <v>27.10159647119967</v>
      </c>
      <c r="H294" s="43">
        <f t="shared" si="140"/>
        <v>33.295713915075147</v>
      </c>
      <c r="I294" s="43">
        <f t="shared" si="140"/>
        <v>40.003834793880728</v>
      </c>
      <c r="J294" s="43">
        <f t="shared" si="140"/>
        <v>47.148680927903385</v>
      </c>
      <c r="K294" s="43">
        <f t="shared" si="140"/>
        <v>54.718123004944012</v>
      </c>
      <c r="L294" s="43">
        <f t="shared" si="140"/>
        <v>62.736705303350313</v>
      </c>
      <c r="M294" s="43">
        <f t="shared" si="140"/>
        <v>71.230389241591425</v>
      </c>
      <c r="N294" s="43">
        <f t="shared" ref="N294:N306" si="141">MAX(N185-N203,0)</f>
        <v>80.226635197069896</v>
      </c>
    </row>
    <row r="295" spans="1:14" ht="15.75">
      <c r="A295" s="41">
        <f t="shared" si="139"/>
        <v>1</v>
      </c>
      <c r="B295" s="34"/>
      <c r="C295" s="43">
        <f t="shared" ref="C295:M295" si="142">(1/(1+$D$4))*(($D$11*D295+(1-$D$11)*D296)-((D295-D296)/((1+$D$9)-1/(1+$D$9)))*($D$5-$D$4))</f>
        <v>4.1421189029018581</v>
      </c>
      <c r="D295" s="43">
        <f t="shared" si="142"/>
        <v>6.0024203459494707</v>
      </c>
      <c r="E295" s="43">
        <f t="shared" si="142"/>
        <v>8.5117927299121039</v>
      </c>
      <c r="F295" s="43">
        <f t="shared" si="142"/>
        <v>11.784467918626904</v>
      </c>
      <c r="G295" s="43">
        <f t="shared" si="142"/>
        <v>15.892959055092129</v>
      </c>
      <c r="H295" s="43">
        <f t="shared" si="142"/>
        <v>20.837949184514194</v>
      </c>
      <c r="I295" s="43">
        <f t="shared" si="142"/>
        <v>26.532349319123359</v>
      </c>
      <c r="J295" s="43">
        <f t="shared" si="142"/>
        <v>32.823230447224887</v>
      </c>
      <c r="K295" s="43">
        <f t="shared" si="142"/>
        <v>39.565592255137297</v>
      </c>
      <c r="L295" s="43">
        <f t="shared" si="142"/>
        <v>46.709342782813088</v>
      </c>
      <c r="M295" s="43">
        <f t="shared" si="142"/>
        <v>54.277686514490995</v>
      </c>
      <c r="N295" s="43">
        <f t="shared" si="141"/>
        <v>62.295167721671163</v>
      </c>
    </row>
    <row r="296" spans="1:14" ht="15.75">
      <c r="A296" s="41">
        <f t="shared" si="139"/>
        <v>2</v>
      </c>
      <c r="B296" s="34"/>
      <c r="C296" s="34"/>
      <c r="D296" s="43">
        <f t="shared" ref="D296:M296" si="143">(1/(1+$D$4))*(($D$11*E296+(1-$D$11)*E297)-((E296-E297)/((1+$D$9)-1/(1+$D$9)))*($D$5-$D$4))</f>
        <v>2.2406138474602408</v>
      </c>
      <c r="E296" s="43">
        <f t="shared" si="143"/>
        <v>3.4395783290701623</v>
      </c>
      <c r="F296" s="43">
        <f t="shared" si="143"/>
        <v>5.1728584254687533</v>
      </c>
      <c r="G296" s="43">
        <f t="shared" si="143"/>
        <v>7.5983816853326571</v>
      </c>
      <c r="H296" s="43">
        <f t="shared" si="143"/>
        <v>10.863264000201829</v>
      </c>
      <c r="I296" s="43">
        <f t="shared" si="143"/>
        <v>15.058901484965549</v>
      </c>
      <c r="J296" s="43">
        <f t="shared" si="143"/>
        <v>20.165805985449801</v>
      </c>
      <c r="K296" s="43">
        <f t="shared" si="143"/>
        <v>26.022076992712282</v>
      </c>
      <c r="L296" s="43">
        <f t="shared" si="143"/>
        <v>32.383892302134598</v>
      </c>
      <c r="M296" s="43">
        <f t="shared" si="143"/>
        <v>39.12515576468428</v>
      </c>
      <c r="N296" s="43">
        <f t="shared" si="141"/>
        <v>46.267805201133939</v>
      </c>
    </row>
    <row r="297" spans="1:14" ht="15.75">
      <c r="A297" s="41">
        <f t="shared" si="139"/>
        <v>3</v>
      </c>
      <c r="B297" s="34"/>
      <c r="C297" s="34"/>
      <c r="D297" s="34"/>
      <c r="E297" s="43">
        <f t="shared" ref="E297:M297" si="144">(1/(1+$D$4))*(($D$11*F297+(1-$D$11)*F298)-((F297-F298)/((1+$D$9)-1/(1+$D$9)))*($D$5-$D$4))</f>
        <v>1.0129128289617335</v>
      </c>
      <c r="F297" s="43">
        <f t="shared" si="144"/>
        <v>1.6657743004406123</v>
      </c>
      <c r="G297" s="43">
        <f t="shared" si="144"/>
        <v>2.6924545853771917</v>
      </c>
      <c r="H297" s="43">
        <f t="shared" si="144"/>
        <v>4.2628575869351284</v>
      </c>
      <c r="I297" s="43">
        <f t="shared" si="144"/>
        <v>6.5824316977800326</v>
      </c>
      <c r="J297" s="43">
        <f t="shared" si="144"/>
        <v>9.8576330168400688</v>
      </c>
      <c r="K297" s="43">
        <f t="shared" si="144"/>
        <v>14.21605294616106</v>
      </c>
      <c r="L297" s="43">
        <f t="shared" si="144"/>
        <v>19.579631388250125</v>
      </c>
      <c r="M297" s="43">
        <f t="shared" si="144"/>
        <v>25.581640502259265</v>
      </c>
      <c r="N297" s="43">
        <f t="shared" si="141"/>
        <v>31.942354720455455</v>
      </c>
    </row>
    <row r="298" spans="1:14" ht="15.75">
      <c r="A298" s="41">
        <f t="shared" si="139"/>
        <v>4</v>
      </c>
      <c r="B298" s="34"/>
      <c r="C298" s="34"/>
      <c r="D298" s="34"/>
      <c r="E298" s="34"/>
      <c r="F298" s="43">
        <f t="shared" ref="F298:M298" si="145">(1/(1+$D$4))*(($D$11*G298+(1-$D$11)*G299)-((G298-G299)/((1+$D$9)-1/(1+$D$9)))*($D$5-$D$4))</f>
        <v>0.3433506307389626</v>
      </c>
      <c r="G298" s="43">
        <f t="shared" si="145"/>
        <v>0.61320121087919555</v>
      </c>
      <c r="H298" s="43">
        <f t="shared" si="145"/>
        <v>1.0831807098527655</v>
      </c>
      <c r="I298" s="43">
        <f t="shared" si="145"/>
        <v>1.887322669748704</v>
      </c>
      <c r="J298" s="43">
        <f t="shared" si="145"/>
        <v>3.2310784828313173</v>
      </c>
      <c r="K298" s="43">
        <f t="shared" si="145"/>
        <v>5.4034579522438779</v>
      </c>
      <c r="L298" s="43">
        <f t="shared" si="145"/>
        <v>8.7452353798436278</v>
      </c>
      <c r="M298" s="43">
        <f t="shared" si="145"/>
        <v>13.476282744389099</v>
      </c>
      <c r="N298" s="43">
        <f t="shared" si="141"/>
        <v>19.138093806570964</v>
      </c>
    </row>
    <row r="299" spans="1:14" ht="15.75">
      <c r="A299" s="41">
        <f t="shared" si="139"/>
        <v>5</v>
      </c>
      <c r="B299" s="34"/>
      <c r="C299" s="34"/>
      <c r="D299" s="34"/>
      <c r="E299" s="34"/>
      <c r="F299" s="34"/>
      <c r="G299" s="43">
        <f t="shared" ref="G299:M299" si="146">(1/(1+$D$4))*(($D$11*H299+(1-$D$11)*H300)-((H299-H300)/((1+$D$9)-1/(1+$D$9)))*($D$5-$D$4))</f>
        <v>6.6214142250035052E-2</v>
      </c>
      <c r="H299" s="43">
        <f t="shared" si="146"/>
        <v>0.13060969763408373</v>
      </c>
      <c r="I299" s="43">
        <f t="shared" si="146"/>
        <v>0.25763216944878187</v>
      </c>
      <c r="J299" s="43">
        <f t="shared" si="146"/>
        <v>0.50818841125289393</v>
      </c>
      <c r="K299" s="43">
        <f t="shared" si="146"/>
        <v>1.0024193092201648</v>
      </c>
      <c r="L299" s="43">
        <f t="shared" si="146"/>
        <v>1.977306938228041</v>
      </c>
      <c r="M299" s="43">
        <f t="shared" si="146"/>
        <v>3.9003066800522306</v>
      </c>
      <c r="N299" s="43">
        <f t="shared" si="141"/>
        <v>7.6934905271169498</v>
      </c>
    </row>
    <row r="300" spans="1:14" ht="15.75">
      <c r="A300" s="41">
        <f t="shared" si="139"/>
        <v>6</v>
      </c>
      <c r="B300" s="34"/>
      <c r="C300" s="34"/>
      <c r="D300" s="34"/>
      <c r="E300" s="34"/>
      <c r="F300" s="34"/>
      <c r="G300" s="34"/>
      <c r="H300" s="43">
        <f t="shared" ref="H300:M300" si="147">(1/(1+$D$4))*(($D$11*I300+(1-$D$11)*I301)-((I300-I301)/((1+$D$9)-1/(1+$D$9)))*($D$5-$D$4))</f>
        <v>0</v>
      </c>
      <c r="I300" s="43">
        <f t="shared" si="147"/>
        <v>0</v>
      </c>
      <c r="J300" s="43">
        <f t="shared" si="147"/>
        <v>0</v>
      </c>
      <c r="K300" s="43">
        <f t="shared" si="147"/>
        <v>0</v>
      </c>
      <c r="L300" s="43">
        <f t="shared" si="147"/>
        <v>0</v>
      </c>
      <c r="M300" s="43">
        <f t="shared" si="147"/>
        <v>0</v>
      </c>
      <c r="N300" s="43">
        <f t="shared" si="141"/>
        <v>0</v>
      </c>
    </row>
    <row r="301" spans="1:14" ht="15.75">
      <c r="A301" s="41">
        <f t="shared" si="139"/>
        <v>7</v>
      </c>
      <c r="B301" s="34"/>
      <c r="C301" s="34"/>
      <c r="D301" s="34"/>
      <c r="E301" s="34"/>
      <c r="F301" s="34"/>
      <c r="G301" s="34"/>
      <c r="H301" s="34"/>
      <c r="I301" s="43">
        <f>(1/(1+$D$4))*(($D$11*J301+(1-$D$11)*J302)-((J301-J302)/((1+$D$9)-1/(1+$D$9)))*($D$5-$D$4))</f>
        <v>0</v>
      </c>
      <c r="J301" s="43">
        <f>(1/(1+$D$4))*(($D$11*K301+(1-$D$11)*K302)-((K301-K302)/((1+$D$9)-1/(1+$D$9)))*($D$5-$D$4))</f>
        <v>0</v>
      </c>
      <c r="K301" s="43">
        <f>(1/(1+$D$4))*(($D$11*L301+(1-$D$11)*L302)-((L301-L302)/((1+$D$9)-1/(1+$D$9)))*($D$5-$D$4))</f>
        <v>0</v>
      </c>
      <c r="L301" s="43">
        <f>(1/(1+$D$4))*(($D$11*M301+(1-$D$11)*M302)-((M301-M302)/((1+$D$9)-1/(1+$D$9)))*($D$5-$D$4))</f>
        <v>0</v>
      </c>
      <c r="M301" s="43">
        <f>(1/(1+$D$4))*(($D$11*N301+(1-$D$11)*N302)-((N301-N302)/((1+$D$9)-1/(1+$D$9)))*($D$5-$D$4))</f>
        <v>0</v>
      </c>
      <c r="N301" s="43">
        <f t="shared" si="141"/>
        <v>0</v>
      </c>
    </row>
    <row r="302" spans="1:14" ht="15.75">
      <c r="A302" s="41">
        <f t="shared" si="139"/>
        <v>8</v>
      </c>
      <c r="B302" s="34"/>
      <c r="C302" s="34"/>
      <c r="D302" s="34"/>
      <c r="E302" s="34"/>
      <c r="F302" s="34"/>
      <c r="G302" s="34"/>
      <c r="H302" s="34"/>
      <c r="I302" s="34"/>
      <c r="J302" s="43">
        <f>(1/(1+$D$4))*(($D$11*K302+(1-$D$11)*K303)-((K302-K303)/((1+$D$9)-1/(1+$D$9)))*($D$5-$D$4))</f>
        <v>0</v>
      </c>
      <c r="K302" s="43">
        <f>(1/(1+$D$4))*(($D$11*L302+(1-$D$11)*L303)-((L302-L303)/((1+$D$9)-1/(1+$D$9)))*($D$5-$D$4))</f>
        <v>0</v>
      </c>
      <c r="L302" s="43">
        <f>(1/(1+$D$4))*(($D$11*M302+(1-$D$11)*M303)-((M302-M303)/((1+$D$9)-1/(1+$D$9)))*($D$5-$D$4))</f>
        <v>0</v>
      </c>
      <c r="M302" s="43">
        <f>(1/(1+$D$4))*(($D$11*N302+(1-$D$11)*N303)-((N302-N303)/((1+$D$9)-1/(1+$D$9)))*($D$5-$D$4))</f>
        <v>0</v>
      </c>
      <c r="N302" s="43">
        <f t="shared" si="141"/>
        <v>0</v>
      </c>
    </row>
    <row r="303" spans="1:14" ht="15.75">
      <c r="A303" s="41">
        <f t="shared" si="139"/>
        <v>9</v>
      </c>
      <c r="B303" s="34"/>
      <c r="C303" s="34"/>
      <c r="D303" s="34"/>
      <c r="E303" s="34"/>
      <c r="F303" s="34"/>
      <c r="G303" s="34"/>
      <c r="H303" s="34"/>
      <c r="I303" s="34"/>
      <c r="J303" s="34"/>
      <c r="K303" s="43">
        <f>(1/(1+$D$4))*(($D$11*L303+(1-$D$11)*L304)-((L303-L304)/((1+$D$9)-1/(1+$D$9)))*($D$5-$D$4))</f>
        <v>0</v>
      </c>
      <c r="L303" s="43">
        <f>(1/(1+$D$4))*(($D$11*M303+(1-$D$11)*M304)-((M303-M304)/((1+$D$9)-1/(1+$D$9)))*($D$5-$D$4))</f>
        <v>0</v>
      </c>
      <c r="M303" s="43">
        <f>(1/(1+$D$4))*(($D$11*N303+(1-$D$11)*N304)-((N303-N304)/((1+$D$9)-1/(1+$D$9)))*($D$5-$D$4))</f>
        <v>0</v>
      </c>
      <c r="N303" s="43">
        <f t="shared" si="141"/>
        <v>0</v>
      </c>
    </row>
    <row r="304" spans="1:14" ht="15.75">
      <c r="A304" s="41">
        <f t="shared" si="139"/>
        <v>10</v>
      </c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43">
        <f>(1/(1+$D$4))*(($D$11*M304+(1-$D$11)*M305)-((M304-M305)/((1+$D$9)-1/(1+$D$9)))*($D$5-$D$4))</f>
        <v>0</v>
      </c>
      <c r="M304" s="43">
        <f>(1/(1+$D$4))*(($D$11*N304+(1-$D$11)*N305)-((N304-N305)/((1+$D$9)-1/(1+$D$9)))*($D$5-$D$4))</f>
        <v>0</v>
      </c>
      <c r="N304" s="43">
        <f t="shared" si="141"/>
        <v>0</v>
      </c>
    </row>
    <row r="305" spans="1:14" ht="15.75">
      <c r="A305" s="41">
        <f t="shared" si="139"/>
        <v>11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43">
        <f>(1/(1+$D$4))*(($D$11*N305+(1-$D$11)*N306)-((N305-N306)/((1+$D$9)-1/(1+$D$9)))*($D$5-$D$4))</f>
        <v>0</v>
      </c>
      <c r="N305" s="43">
        <f t="shared" si="141"/>
        <v>0</v>
      </c>
    </row>
    <row r="306" spans="1:14" ht="15.75">
      <c r="A306" s="41">
        <f t="shared" si="139"/>
        <v>12</v>
      </c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43">
        <f t="shared" si="141"/>
        <v>0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85"/>
  <sheetViews>
    <sheetView zoomScale="90" workbookViewId="0"/>
  </sheetViews>
  <sheetFormatPr defaultRowHeight="15"/>
  <cols>
    <col min="1" max="1" width="25.33203125" customWidth="1"/>
    <col min="2" max="2" width="11.5546875" customWidth="1"/>
    <col min="3" max="3" width="10.109375" customWidth="1"/>
    <col min="4" max="4" width="9" bestFit="1" customWidth="1"/>
    <col min="15" max="15" width="8.88671875" style="4"/>
  </cols>
  <sheetData>
    <row r="1" spans="1:38" ht="16.5" thickBot="1">
      <c r="A1" s="1" t="s">
        <v>58</v>
      </c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>
      <c r="A2" s="5" t="s">
        <v>144</v>
      </c>
      <c r="B2" s="7" t="s">
        <v>2</v>
      </c>
      <c r="C2" s="77"/>
      <c r="D2" s="77"/>
      <c r="E2" s="8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>
      <c r="A3" s="9" t="s">
        <v>49</v>
      </c>
      <c r="B3" s="183">
        <f>'Exhs.CD27-1-8'!B3</f>
        <v>8.3333333333333329E-2</v>
      </c>
      <c r="C3" s="97"/>
      <c r="D3" s="78" t="s">
        <v>145</v>
      </c>
      <c r="E3" s="12"/>
      <c r="M3" s="4"/>
      <c r="N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>
      <c r="A4" s="9" t="s">
        <v>3</v>
      </c>
      <c r="B4" s="183">
        <f>'Exhs.CD27-1-8'!B4</f>
        <v>0.03</v>
      </c>
      <c r="C4" s="97" t="s">
        <v>4</v>
      </c>
      <c r="D4" s="81">
        <f>B4*B$3</f>
        <v>2.4999999999999996E-3</v>
      </c>
      <c r="E4" s="12"/>
      <c r="M4" s="4"/>
      <c r="N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>
      <c r="A5" s="9" t="s">
        <v>5</v>
      </c>
      <c r="B5" s="183">
        <f>'Exhs.CD27-1-8'!B5</f>
        <v>0.09</v>
      </c>
      <c r="C5" s="97" t="s">
        <v>6</v>
      </c>
      <c r="D5" s="81">
        <f>D4</f>
        <v>2.4999999999999996E-3</v>
      </c>
      <c r="E5" s="12"/>
      <c r="F5" s="2"/>
      <c r="H5" s="13"/>
      <c r="M5" s="4"/>
      <c r="N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>
      <c r="A6" s="9" t="s">
        <v>54</v>
      </c>
      <c r="B6" s="183">
        <f>'Exhs.CD27-1-8'!B6</f>
        <v>0.06</v>
      </c>
      <c r="C6" s="97" t="s">
        <v>9</v>
      </c>
      <c r="D6" s="81">
        <f>B6*B$3</f>
        <v>4.9999999999999992E-3</v>
      </c>
      <c r="E6" s="12"/>
      <c r="M6" s="4"/>
      <c r="N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>
      <c r="A7" s="9" t="s">
        <v>10</v>
      </c>
      <c r="B7" s="183">
        <f>'Exhs.CD27-1-8'!B7</f>
        <v>1.9818975623042689E-2</v>
      </c>
      <c r="C7" s="97" t="s">
        <v>11</v>
      </c>
      <c r="D7" s="81">
        <f>B7*B$3</f>
        <v>1.6515813019202241E-3</v>
      </c>
      <c r="E7" s="12"/>
      <c r="M7" s="4"/>
      <c r="N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>
      <c r="A8" s="176"/>
      <c r="B8" s="11"/>
      <c r="C8" s="97" t="s">
        <v>16</v>
      </c>
      <c r="D8" s="81">
        <f>(1+D5)/(1+D6)-1</f>
        <v>-2.4875621890546595E-3</v>
      </c>
      <c r="E8" s="12"/>
      <c r="M8" s="4"/>
      <c r="N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>
      <c r="A9" s="9" t="s">
        <v>19</v>
      </c>
      <c r="B9" s="183">
        <f>'Exhs.CD27-1-8'!B9</f>
        <v>0.2</v>
      </c>
      <c r="C9" s="97" t="s">
        <v>20</v>
      </c>
      <c r="D9" s="81">
        <f>B9*SQRT(B$3)</f>
        <v>5.7735026918962574E-2</v>
      </c>
      <c r="E9" s="12"/>
      <c r="M9" s="4"/>
      <c r="N9" s="4"/>
      <c r="P9" s="4"/>
      <c r="Q9" s="4"/>
      <c r="R9" s="4"/>
      <c r="S9" s="4"/>
      <c r="T9" s="4"/>
      <c r="U9" s="135"/>
      <c r="V9" s="4"/>
      <c r="W9" s="4"/>
      <c r="X9" s="4"/>
      <c r="Y9" s="4"/>
      <c r="Z9" s="2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>
      <c r="A10" s="9" t="s">
        <v>23</v>
      </c>
      <c r="B10" s="183">
        <f>'Exhs.CD27-1-8'!B10</f>
        <v>100</v>
      </c>
      <c r="C10" s="97"/>
      <c r="D10" s="78"/>
      <c r="E10" s="12"/>
      <c r="M10" s="4"/>
      <c r="N10" s="4"/>
      <c r="P10" s="4"/>
      <c r="Q10" s="2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>
      <c r="A11" s="9" t="s">
        <v>26</v>
      </c>
      <c r="B11" s="183">
        <f>'Exhs.CD27-1-8'!B11</f>
        <v>88.235294117647058</v>
      </c>
      <c r="C11" s="97" t="s">
        <v>55</v>
      </c>
      <c r="D11" s="142">
        <f>((1+D4)-1/(1+D9))/((1+D9)-1/(1+D9))</f>
        <v>0.50822931840504959</v>
      </c>
      <c r="E11" s="12" t="s">
        <v>28</v>
      </c>
      <c r="M11" s="4"/>
      <c r="N11" s="4"/>
      <c r="P11" s="4"/>
      <c r="Q11" s="2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>
      <c r="A12" s="176"/>
      <c r="B12" s="11"/>
      <c r="C12" s="184" t="s">
        <v>30</v>
      </c>
      <c r="D12" s="143">
        <f>(1+D9)</f>
        <v>1.0577350269189625</v>
      </c>
      <c r="E12" s="12"/>
      <c r="M12" s="4"/>
      <c r="N12" s="4"/>
      <c r="P12" s="4"/>
      <c r="Q12" s="2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>
      <c r="A13" s="9"/>
      <c r="B13" s="84"/>
      <c r="C13" s="193" t="s">
        <v>31</v>
      </c>
      <c r="D13" s="191">
        <f>1/D12</f>
        <v>0.94541636095087378</v>
      </c>
      <c r="E13" s="192"/>
      <c r="M13" s="4"/>
      <c r="N13" s="4"/>
      <c r="P13" s="4"/>
      <c r="Q13" s="2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16.5" thickBot="1">
      <c r="A14" s="26" t="s">
        <v>32</v>
      </c>
      <c r="B14" s="85"/>
      <c r="C14" s="28" t="s">
        <v>33</v>
      </c>
      <c r="D14" s="190">
        <f>B87</f>
        <v>11.094493935471993</v>
      </c>
      <c r="E14" s="87" t="s">
        <v>57</v>
      </c>
      <c r="F14" t="s">
        <v>59</v>
      </c>
      <c r="M14" s="4"/>
      <c r="N14" s="4"/>
      <c r="P14" s="4"/>
      <c r="Q14" s="4"/>
      <c r="R14" s="4"/>
      <c r="S14" s="4"/>
      <c r="T14" s="24"/>
      <c r="U14" s="4"/>
      <c r="V14" s="4"/>
      <c r="W14" s="4"/>
      <c r="X14" s="4"/>
      <c r="Y14" s="2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6" customFormat="1" ht="15.75">
      <c r="A15" s="4"/>
      <c r="B15" s="4"/>
      <c r="C15" s="30"/>
      <c r="D15" s="31"/>
      <c r="M15" s="4"/>
      <c r="N15" s="4"/>
      <c r="O15" s="4"/>
      <c r="P15" s="4"/>
      <c r="Q15" s="4"/>
      <c r="R15" s="4"/>
      <c r="S15" s="4"/>
      <c r="T15" s="24"/>
      <c r="U15" s="4"/>
      <c r="V15" s="4"/>
      <c r="W15" s="4"/>
      <c r="X15" s="4"/>
      <c r="Y15" s="2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.75">
      <c r="B16" s="32" t="s">
        <v>50</v>
      </c>
      <c r="M16" s="4"/>
      <c r="N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27" ht="15.75">
      <c r="B17" s="34" t="s">
        <v>51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 t="s">
        <v>52</v>
      </c>
      <c r="O17" s="36"/>
      <c r="P17" s="4"/>
      <c r="X17" s="4"/>
      <c r="Y17" s="4"/>
      <c r="Z17" s="4"/>
      <c r="AA17" s="4"/>
    </row>
    <row r="18" spans="1:27" ht="15.75">
      <c r="B18" s="34">
        <v>0</v>
      </c>
      <c r="C18" s="34">
        <v>1</v>
      </c>
      <c r="D18" s="34">
        <v>2</v>
      </c>
      <c r="E18" s="34">
        <v>3</v>
      </c>
      <c r="F18" s="34">
        <v>4</v>
      </c>
      <c r="G18" s="34">
        <v>5</v>
      </c>
      <c r="H18" s="34">
        <v>6</v>
      </c>
      <c r="I18" s="34">
        <v>7</v>
      </c>
      <c r="J18" s="34">
        <v>8</v>
      </c>
      <c r="K18" s="34">
        <v>9</v>
      </c>
      <c r="L18" s="34">
        <v>10</v>
      </c>
      <c r="M18" s="34">
        <v>11</v>
      </c>
      <c r="N18" s="34">
        <v>12</v>
      </c>
      <c r="P18" s="4"/>
    </row>
    <row r="19" spans="1:27" ht="16.5" thickBot="1">
      <c r="B19" s="38" t="s">
        <v>61</v>
      </c>
      <c r="C19" s="39">
        <f t="shared" ref="C19:N19" si="0">SUM(C53:C65)</f>
        <v>99.75124378109453</v>
      </c>
      <c r="D19" s="39">
        <f t="shared" si="0"/>
        <v>99.503106358753499</v>
      </c>
      <c r="E19" s="39">
        <f t="shared" si="0"/>
        <v>99.255586193682007</v>
      </c>
      <c r="F19" s="39">
        <f t="shared" si="0"/>
        <v>99.008681750414127</v>
      </c>
      <c r="G19" s="39">
        <f t="shared" si="0"/>
        <v>98.762391497303653</v>
      </c>
      <c r="H19" s="39">
        <f t="shared" si="0"/>
        <v>98.51671390651434</v>
      </c>
      <c r="I19" s="39">
        <f t="shared" si="0"/>
        <v>98.271647454010576</v>
      </c>
      <c r="J19" s="39">
        <f t="shared" si="0"/>
        <v>98.027190619547866</v>
      </c>
      <c r="K19" s="39">
        <f t="shared" si="0"/>
        <v>97.783341886663436</v>
      </c>
      <c r="L19" s="39">
        <f t="shared" si="0"/>
        <v>97.54009974266674</v>
      </c>
      <c r="M19" s="39">
        <f t="shared" si="0"/>
        <v>97.297462678630268</v>
      </c>
      <c r="N19" s="40">
        <f t="shared" si="0"/>
        <v>97.055429189379979</v>
      </c>
      <c r="P19" s="4"/>
    </row>
    <row r="20" spans="1:27" ht="15.75">
      <c r="A20" s="41" t="s">
        <v>53</v>
      </c>
      <c r="B20" s="34" t="s">
        <v>38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P20" s="42"/>
      <c r="W20" s="45">
        <f>N33</f>
        <v>48.026907597207682</v>
      </c>
      <c r="X20" s="46">
        <f t="shared" ref="X20:X32" si="1">N38</f>
        <v>2.9697273375145857E-4</v>
      </c>
    </row>
    <row r="21" spans="1:27" ht="15.75">
      <c r="A21" s="41">
        <v>0</v>
      </c>
      <c r="B21" s="43">
        <f>B10</f>
        <v>100</v>
      </c>
      <c r="C21" s="43">
        <f t="shared" ref="C21:N21" si="2">(1+$D$9)/(1+$D$6)*B21</f>
        <v>105.24726636009578</v>
      </c>
      <c r="D21" s="43">
        <f t="shared" si="2"/>
        <v>110.76987076272948</v>
      </c>
      <c r="E21" s="43">
        <f t="shared" si="2"/>
        <v>116.58226092838376</v>
      </c>
      <c r="F21" s="43">
        <f t="shared" si="2"/>
        <v>122.69964268791793</v>
      </c>
      <c r="G21" s="43">
        <f t="shared" si="2"/>
        <v>129.13801976263878</v>
      </c>
      <c r="H21" s="43">
        <f t="shared" si="2"/>
        <v>135.91423563173757</v>
      </c>
      <c r="I21" s="43">
        <f t="shared" si="2"/>
        <v>143.04601759662305</v>
      </c>
      <c r="J21" s="43">
        <f t="shared" si="2"/>
        <v>150.55202315742733</v>
      </c>
      <c r="K21" s="43">
        <f t="shared" si="2"/>
        <v>158.45188882301062</v>
      </c>
      <c r="L21" s="43">
        <f t="shared" si="2"/>
        <v>166.76628148215681</v>
      </c>
      <c r="M21" s="43">
        <f t="shared" si="2"/>
        <v>175.51695247035266</v>
      </c>
      <c r="N21" s="43">
        <f t="shared" si="2"/>
        <v>184.72679447359479</v>
      </c>
      <c r="O21" s="44"/>
      <c r="W21" s="47">
        <f>N32</f>
        <v>53.732666895116999</v>
      </c>
      <c r="X21" s="48">
        <f t="shared" si="1"/>
        <v>3.4482658533054708E-3</v>
      </c>
    </row>
    <row r="22" spans="1:27" ht="15.75">
      <c r="A22" s="41">
        <f t="shared" ref="A22:A33" si="3">1+A21</f>
        <v>1</v>
      </c>
      <c r="B22" s="43"/>
      <c r="C22" s="43">
        <f t="shared" ref="C22:N22" si="4">1/(1+$D$9)/(1+$D$6)*B21</f>
        <v>94.071279696604364</v>
      </c>
      <c r="D22" s="43">
        <f t="shared" si="4"/>
        <v>99.007450310635903</v>
      </c>
      <c r="E22" s="43">
        <f t="shared" si="4"/>
        <v>104.20263494477445</v>
      </c>
      <c r="F22" s="43">
        <f t="shared" si="4"/>
        <v>109.670424754565</v>
      </c>
      <c r="G22" s="43">
        <f t="shared" si="4"/>
        <v>115.42512405968544</v>
      </c>
      <c r="H22" s="43">
        <f t="shared" si="4"/>
        <v>121.48178776556816</v>
      </c>
      <c r="I22" s="43">
        <f t="shared" si="4"/>
        <v>127.85626074863377</v>
      </c>
      <c r="J22" s="43">
        <f t="shared" si="4"/>
        <v>134.56521930817317</v>
      </c>
      <c r="K22" s="43">
        <f t="shared" si="4"/>
        <v>141.62621479332003</v>
      </c>
      <c r="L22" s="43">
        <f t="shared" si="4"/>
        <v>149.05771951924692</v>
      </c>
      <c r="M22" s="43">
        <f t="shared" si="4"/>
        <v>156.87917509270628</v>
      </c>
      <c r="N22" s="43">
        <f t="shared" si="4"/>
        <v>165.11104327334161</v>
      </c>
      <c r="O22" s="44"/>
      <c r="W22" s="47">
        <f>N31</f>
        <v>60.116289724001831</v>
      </c>
      <c r="X22" s="48">
        <f t="shared" si="1"/>
        <v>1.835127949480132E-2</v>
      </c>
    </row>
    <row r="23" spans="1:27" ht="15.75">
      <c r="A23" s="41">
        <f t="shared" si="3"/>
        <v>2</v>
      </c>
      <c r="B23" s="43"/>
      <c r="C23" s="43"/>
      <c r="D23" s="43">
        <f t="shared" ref="D23:N23" si="5">1/(1+$D$9)/(1+$D$6)*C22</f>
        <v>88.494056637567695</v>
      </c>
      <c r="E23" s="43">
        <f t="shared" si="5"/>
        <v>93.137575502194892</v>
      </c>
      <c r="F23" s="43">
        <f t="shared" si="5"/>
        <v>98.02475217013037</v>
      </c>
      <c r="G23" s="43">
        <f t="shared" si="5"/>
        <v>103.16837201532088</v>
      </c>
      <c r="H23" s="43">
        <f t="shared" si="5"/>
        <v>108.58189129433929</v>
      </c>
      <c r="I23" s="43">
        <f t="shared" si="5"/>
        <v>114.27947234938293</v>
      </c>
      <c r="J23" s="43">
        <f t="shared" si="5"/>
        <v>120.27602065846706</v>
      </c>
      <c r="K23" s="43">
        <f t="shared" si="5"/>
        <v>126.58722382974065</v>
      </c>
      <c r="L23" s="43">
        <f t="shared" si="5"/>
        <v>133.22959264193776</v>
      </c>
      <c r="M23" s="43">
        <f t="shared" si="5"/>
        <v>140.22050423833082</v>
      </c>
      <c r="N23" s="43">
        <f t="shared" si="5"/>
        <v>147.57824758718542</v>
      </c>
      <c r="O23" s="44"/>
      <c r="W23" s="47">
        <f>N30</f>
        <v>67.258308567381974</v>
      </c>
      <c r="X23" s="48">
        <f t="shared" si="1"/>
        <v>5.9189955521255617E-2</v>
      </c>
    </row>
    <row r="24" spans="1:27" ht="15.75">
      <c r="A24" s="41">
        <f t="shared" si="3"/>
        <v>3</v>
      </c>
      <c r="B24" s="43"/>
      <c r="C24" s="43"/>
      <c r="D24" s="43"/>
      <c r="E24" s="43">
        <f t="shared" ref="E24:N24" si="6">1/(1+$D$9)/(1+$D$6)*D23</f>
        <v>83.247491534397795</v>
      </c>
      <c r="F24" s="43">
        <f t="shared" si="6"/>
        <v>87.615709153305829</v>
      </c>
      <c r="G24" s="43">
        <f t="shared" si="6"/>
        <v>92.213138785866605</v>
      </c>
      <c r="H24" s="43">
        <f t="shared" si="6"/>
        <v>97.051807796965818</v>
      </c>
      <c r="I24" s="43">
        <f t="shared" si="6"/>
        <v>102.14437465936082</v>
      </c>
      <c r="J24" s="43">
        <f t="shared" si="6"/>
        <v>107.50416206959167</v>
      </c>
      <c r="K24" s="43">
        <f t="shared" si="6"/>
        <v>113.14519180157221</v>
      </c>
      <c r="L24" s="43">
        <f t="shared" si="6"/>
        <v>119.08222138904195</v>
      </c>
      <c r="M24" s="43">
        <f t="shared" si="6"/>
        <v>125.3307827328439</v>
      </c>
      <c r="N24" s="43">
        <f t="shared" si="6"/>
        <v>131.90722273402918</v>
      </c>
      <c r="O24" s="44"/>
      <c r="W24" s="47">
        <f>N29</f>
        <v>75.248823440596567</v>
      </c>
      <c r="X24" s="48">
        <f t="shared" si="1"/>
        <v>0.12886454669444017</v>
      </c>
    </row>
    <row r="25" spans="1:27" ht="15.75">
      <c r="A25" s="41">
        <f t="shared" si="3"/>
        <v>4</v>
      </c>
      <c r="B25" s="34"/>
      <c r="C25" s="34"/>
      <c r="D25" s="43"/>
      <c r="E25" s="43"/>
      <c r="F25" s="43">
        <f t="shared" ref="F25:N25" si="7">1/(1+$D$9)/(1+$D$6)*E24</f>
        <v>78.311980601730397</v>
      </c>
      <c r="G25" s="43">
        <f t="shared" si="7"/>
        <v>82.42121881576972</v>
      </c>
      <c r="H25" s="43">
        <f t="shared" si="7"/>
        <v>86.746079704270542</v>
      </c>
      <c r="I25" s="43">
        <f t="shared" si="7"/>
        <v>91.297877563294605</v>
      </c>
      <c r="J25" s="43">
        <f t="shared" si="7"/>
        <v>96.08852038015479</v>
      </c>
      <c r="K25" s="43">
        <f t="shared" si="7"/>
        <v>101.13054098597645</v>
      </c>
      <c r="L25" s="43">
        <f t="shared" si="7"/>
        <v>106.43712984291648</v>
      </c>
      <c r="M25" s="43">
        <f t="shared" si="7"/>
        <v>112.02216955181528</v>
      </c>
      <c r="N25" s="43">
        <f t="shared" si="7"/>
        <v>117.90027117055712</v>
      </c>
      <c r="O25" s="44"/>
      <c r="W25" s="47">
        <f>N28</f>
        <v>84.188638545991438</v>
      </c>
      <c r="X25" s="48">
        <f t="shared" si="1"/>
        <v>0.19950617932936479</v>
      </c>
    </row>
    <row r="26" spans="1:27" ht="15.75">
      <c r="A26" s="41">
        <f t="shared" si="3"/>
        <v>5</v>
      </c>
      <c r="B26" s="49"/>
      <c r="C26" s="49"/>
      <c r="D26" s="49"/>
      <c r="E26" s="49"/>
      <c r="F26" s="49"/>
      <c r="G26" s="49">
        <f t="shared" ref="G26:N26" si="8">1/(1+$D$9)/(1+$D$6)*F25</f>
        <v>73.669082307804359</v>
      </c>
      <c r="H26" s="49">
        <f t="shared" si="8"/>
        <v>77.534695281533047</v>
      </c>
      <c r="I26" s="49">
        <f t="shared" si="8"/>
        <v>81.603147264443706</v>
      </c>
      <c r="J26" s="49">
        <f t="shared" si="8"/>
        <v>85.885081759630282</v>
      </c>
      <c r="K26" s="49">
        <f t="shared" si="8"/>
        <v>90.391700763144101</v>
      </c>
      <c r="L26" s="43">
        <f t="shared" si="8"/>
        <v>95.134794069607025</v>
      </c>
      <c r="M26" s="43">
        <f t="shared" si="8"/>
        <v>100.12677011556792</v>
      </c>
      <c r="N26" s="43">
        <f t="shared" si="8"/>
        <v>105.38068844129253</v>
      </c>
      <c r="O26" s="44"/>
      <c r="W26" s="47">
        <f>N27</f>
        <v>94.190533966591985</v>
      </c>
      <c r="X26" s="48">
        <f t="shared" si="1"/>
        <v>0.22521953629571748</v>
      </c>
    </row>
    <row r="27" spans="1:27" ht="15.75">
      <c r="A27" s="41">
        <f t="shared" si="3"/>
        <v>6</v>
      </c>
      <c r="B27" s="49"/>
      <c r="C27" s="50"/>
      <c r="D27" s="49"/>
      <c r="E27" s="49"/>
      <c r="F27" s="49"/>
      <c r="G27" s="49"/>
      <c r="H27" s="49">
        <f t="shared" ref="H27:N27" si="9">1/(1+$D$9)/(1+$D$6)*G26</f>
        <v>69.301448467696318</v>
      </c>
      <c r="I27" s="49">
        <f t="shared" si="9"/>
        <v>72.937880060200868</v>
      </c>
      <c r="J27" s="49">
        <f t="shared" si="9"/>
        <v>76.7651249043668</v>
      </c>
      <c r="K27" s="49">
        <f t="shared" si="9"/>
        <v>80.793195479759149</v>
      </c>
      <c r="L27" s="43">
        <f t="shared" si="9"/>
        <v>85.03262964741495</v>
      </c>
      <c r="M27" s="43">
        <f t="shared" si="9"/>
        <v>89.494518218008608</v>
      </c>
      <c r="N27" s="43">
        <f t="shared" si="9"/>
        <v>94.190533966591985</v>
      </c>
      <c r="O27" s="44"/>
      <c r="W27" s="47">
        <f>N26</f>
        <v>105.38068844129253</v>
      </c>
      <c r="X27" s="48">
        <f t="shared" si="1"/>
        <v>0.18679368465326093</v>
      </c>
    </row>
    <row r="28" spans="1:27" ht="15.75">
      <c r="A28" s="41">
        <f t="shared" si="3"/>
        <v>7</v>
      </c>
      <c r="B28" s="49"/>
      <c r="C28" s="49"/>
      <c r="D28" s="49"/>
      <c r="E28" s="49"/>
      <c r="F28" s="49"/>
      <c r="G28" s="49"/>
      <c r="H28" s="49"/>
      <c r="I28" s="49">
        <f t="shared" ref="I28:N28" si="10">1/(1+$D$9)/(1+$D$6)*H27</f>
        <v>65.192759421844741</v>
      </c>
      <c r="J28" s="49">
        <f t="shared" si="10"/>
        <v>68.613597156205387</v>
      </c>
      <c r="K28" s="49">
        <f t="shared" si="10"/>
        <v>72.213935358234593</v>
      </c>
      <c r="L28" s="43">
        <f t="shared" si="10"/>
        <v>76.003192895588555</v>
      </c>
      <c r="M28" s="43">
        <f t="shared" si="10"/>
        <v>79.991282868997445</v>
      </c>
      <c r="N28" s="43">
        <f t="shared" si="10"/>
        <v>84.188638545991438</v>
      </c>
      <c r="O28" s="44"/>
      <c r="W28" s="47">
        <f>N25</f>
        <v>117.90027117055712</v>
      </c>
      <c r="X28" s="48">
        <f t="shared" si="1"/>
        <v>0.11296531690143939</v>
      </c>
    </row>
    <row r="29" spans="1:27" ht="15.75">
      <c r="A29" s="41">
        <f t="shared" si="3"/>
        <v>8</v>
      </c>
      <c r="B29" s="49"/>
      <c r="C29" s="50"/>
      <c r="D29" s="49"/>
      <c r="E29" s="49"/>
      <c r="F29" s="49"/>
      <c r="G29" s="49"/>
      <c r="H29" s="49"/>
      <c r="I29" s="49"/>
      <c r="J29" s="49">
        <f>1/(1+$D$9)/(1+$D$6)*I28</f>
        <v>61.327663057657965</v>
      </c>
      <c r="K29" s="49">
        <f>1/(1+$D$9)/(1+$D$6)*J28</f>
        <v>64.545688890715354</v>
      </c>
      <c r="L29" s="43">
        <f>1/(1+$D$9)/(1+$D$6)*K28</f>
        <v>67.932573110769937</v>
      </c>
      <c r="M29" s="43">
        <f>1/(1+$D$9)/(1+$D$6)*L28</f>
        <v>71.497176167158855</v>
      </c>
      <c r="N29" s="43">
        <f>1/(1+$D$9)/(1+$D$6)*M28</f>
        <v>75.248823440596567</v>
      </c>
      <c r="O29" s="44"/>
      <c r="W29" s="47">
        <f>N24</f>
        <v>131.90722273402918</v>
      </c>
      <c r="X29" s="48">
        <f t="shared" si="1"/>
        <v>4.8580896568982505E-2</v>
      </c>
    </row>
    <row r="30" spans="1:27" ht="15.75">
      <c r="A30" s="41">
        <f t="shared" si="3"/>
        <v>9</v>
      </c>
      <c r="B30" s="49"/>
      <c r="C30" s="49"/>
      <c r="D30" s="49"/>
      <c r="E30" s="49"/>
      <c r="F30" s="49"/>
      <c r="G30" s="49"/>
      <c r="H30" s="49"/>
      <c r="I30" s="49"/>
      <c r="J30" s="49"/>
      <c r="K30" s="49">
        <f>1/(1+$D$9)/(1+$D$6)*J29</f>
        <v>57.691717446360535</v>
      </c>
      <c r="L30" s="43">
        <f>1/(1+$D$9)/(1+$D$6)*K29</f>
        <v>60.718955528484933</v>
      </c>
      <c r="M30" s="43">
        <f>1/(1+$D$9)/(1+$D$6)*L29</f>
        <v>63.905040856132636</v>
      </c>
      <c r="N30" s="43">
        <f>1/(1+$D$9)/(1+$D$6)*M29</f>
        <v>67.258308567381974</v>
      </c>
      <c r="O30" s="44"/>
      <c r="W30" s="47">
        <f>N23</f>
        <v>147.57824758718542</v>
      </c>
      <c r="X30" s="48">
        <f t="shared" si="1"/>
        <v>1.4102291870841199E-2</v>
      </c>
    </row>
    <row r="31" spans="1:27" ht="15.75">
      <c r="A31" s="41">
        <f t="shared" si="3"/>
        <v>10</v>
      </c>
      <c r="B31" s="49"/>
      <c r="C31" s="50"/>
      <c r="D31" s="49"/>
      <c r="E31" s="49"/>
      <c r="F31" s="49"/>
      <c r="G31" s="49"/>
      <c r="H31" s="49"/>
      <c r="I31" s="49"/>
      <c r="J31" s="49"/>
      <c r="K31" s="49"/>
      <c r="L31" s="43">
        <f>1/(1+$D$9)/(1+$D$6)*K30</f>
        <v>54.27133688074052</v>
      </c>
      <c r="M31" s="43">
        <f>1/(1+$D$9)/(1+$D$6)*L30</f>
        <v>57.119098484057886</v>
      </c>
      <c r="N31" s="43">
        <f>1/(1+$D$9)/(1+$D$6)*M30</f>
        <v>60.116289724001831</v>
      </c>
      <c r="O31" s="44"/>
      <c r="W31" s="47">
        <f>N22</f>
        <v>165.11104327334161</v>
      </c>
      <c r="X31" s="48">
        <f t="shared" si="1"/>
        <v>2.4810180738306232E-3</v>
      </c>
    </row>
    <row r="32" spans="1:27" ht="16.5" thickBot="1">
      <c r="A32" s="41">
        <f t="shared" si="3"/>
        <v>11</v>
      </c>
      <c r="B32" s="49"/>
      <c r="C32" s="50"/>
      <c r="D32" s="51"/>
      <c r="E32" s="51"/>
      <c r="F32" s="49"/>
      <c r="G32" s="49"/>
      <c r="H32" s="49"/>
      <c r="I32" s="49"/>
      <c r="J32" s="49"/>
      <c r="K32" s="49"/>
      <c r="L32" s="43"/>
      <c r="M32" s="43">
        <f>1/(1+$D$9)/(1+$D$6)*L31</f>
        <v>51.05374111216782</v>
      </c>
      <c r="N32" s="43">
        <f>1/(1+$D$9)/(1+$D$6)*M31</f>
        <v>53.732666895116999</v>
      </c>
      <c r="O32" s="44"/>
      <c r="W32" s="52">
        <f>N21</f>
        <v>184.72679447359479</v>
      </c>
      <c r="X32" s="53">
        <f t="shared" si="1"/>
        <v>2.000560090088908E-4</v>
      </c>
    </row>
    <row r="33" spans="1:16" ht="15.75">
      <c r="A33" s="41">
        <f t="shared" si="3"/>
        <v>12</v>
      </c>
      <c r="B33" s="49"/>
      <c r="C33" s="49"/>
      <c r="D33" s="49"/>
      <c r="E33" s="50"/>
      <c r="F33" s="50"/>
      <c r="G33" s="49"/>
      <c r="H33" s="49"/>
      <c r="I33" s="49"/>
      <c r="J33" s="49"/>
      <c r="K33" s="49"/>
      <c r="L33" s="43"/>
      <c r="M33" s="43"/>
      <c r="N33" s="43">
        <f>1/(1+$D$9)/(1+$D$6)*M32</f>
        <v>48.026907597207682</v>
      </c>
      <c r="O33" s="44"/>
    </row>
    <row r="34" spans="1:16">
      <c r="O34" s="44"/>
      <c r="P34" s="55"/>
    </row>
    <row r="35" spans="1:16" ht="15.75">
      <c r="B35" s="56" t="s">
        <v>60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44"/>
      <c r="P35" s="55"/>
    </row>
    <row r="36" spans="1:16" ht="15.75">
      <c r="B36" s="34" t="s">
        <v>51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 t="s">
        <v>52</v>
      </c>
      <c r="O36" s="36"/>
      <c r="P36" s="55"/>
    </row>
    <row r="37" spans="1:16" ht="15.75">
      <c r="A37" s="41" t="s">
        <v>53</v>
      </c>
      <c r="B37" s="57">
        <v>0</v>
      </c>
      <c r="C37" s="58">
        <v>1</v>
      </c>
      <c r="D37" s="58">
        <v>2</v>
      </c>
      <c r="E37" s="58">
        <v>3</v>
      </c>
      <c r="F37" s="58">
        <v>4</v>
      </c>
      <c r="G37" s="58">
        <v>5</v>
      </c>
      <c r="H37" s="58">
        <v>6</v>
      </c>
      <c r="I37" s="58">
        <v>7</v>
      </c>
      <c r="J37" s="58">
        <v>8</v>
      </c>
      <c r="K37" s="58">
        <v>9</v>
      </c>
      <c r="L37" s="58">
        <v>10</v>
      </c>
      <c r="M37" s="58">
        <v>11</v>
      </c>
      <c r="N37" s="58">
        <v>12</v>
      </c>
      <c r="O37" s="59"/>
    </row>
    <row r="38" spans="1:16" ht="15.75">
      <c r="A38" s="41">
        <v>0</v>
      </c>
      <c r="B38" s="60">
        <f t="shared" ref="B38:N38" si="11">(FACT(B$18)/(FACT(B$18-$A38)*FACT($A38)))*$D$11^(B$18-$A38)*(1-$D$11)^($A38)</f>
        <v>1</v>
      </c>
      <c r="C38" s="60">
        <f t="shared" si="11"/>
        <v>0.50822931840504959</v>
      </c>
      <c r="D38" s="60">
        <f t="shared" si="11"/>
        <v>0.25829704008646126</v>
      </c>
      <c r="E38" s="60">
        <f t="shared" si="11"/>
        <v>0.13127412862918397</v>
      </c>
      <c r="F38" s="60">
        <f t="shared" si="11"/>
        <v>6.6717360917426971E-2</v>
      </c>
      <c r="G38" s="60">
        <f t="shared" si="11"/>
        <v>3.3907718864847607E-2</v>
      </c>
      <c r="H38" s="60">
        <f t="shared" si="11"/>
        <v>1.7232896847351537E-2</v>
      </c>
      <c r="I38" s="60">
        <f t="shared" si="11"/>
        <v>8.7582634188740002E-3</v>
      </c>
      <c r="J38" s="60">
        <f t="shared" si="11"/>
        <v>4.4512062477862118E-3</v>
      </c>
      <c r="K38" s="60">
        <f t="shared" si="11"/>
        <v>2.2622335173926849E-3</v>
      </c>
      <c r="L38" s="60">
        <f t="shared" si="11"/>
        <v>1.149733398617542E-3</v>
      </c>
      <c r="M38" s="60">
        <f t="shared" si="11"/>
        <v>5.8432822152691449E-4</v>
      </c>
      <c r="N38" s="60">
        <f t="shared" si="11"/>
        <v>2.9697273375145857E-4</v>
      </c>
      <c r="O38" s="61"/>
    </row>
    <row r="39" spans="1:16" ht="15.75">
      <c r="A39" s="41">
        <f t="shared" ref="A39:A50" si="12">1+A38</f>
        <v>1</v>
      </c>
      <c r="B39" s="60"/>
      <c r="C39" s="60">
        <f t="shared" ref="C39:N39" si="13">(FACT(C$18)/(FACT(C$18-$A39)*FACT($A39)))*$D$11^(C$18-$A39)*(1-$D$11)^($A39)</f>
        <v>0.49177068159495041</v>
      </c>
      <c r="D39" s="60">
        <f t="shared" si="13"/>
        <v>0.4998645566371766</v>
      </c>
      <c r="E39" s="60">
        <f t="shared" si="13"/>
        <v>0.38106873437183186</v>
      </c>
      <c r="F39" s="60">
        <f t="shared" si="13"/>
        <v>0.25822707084702801</v>
      </c>
      <c r="G39" s="60">
        <f t="shared" si="13"/>
        <v>0.16404821026289684</v>
      </c>
      <c r="H39" s="60">
        <f t="shared" si="13"/>
        <v>0.10004893210497638</v>
      </c>
      <c r="I39" s="60">
        <f t="shared" si="13"/>
        <v>5.9322433999342762E-2</v>
      </c>
      <c r="J39" s="60">
        <f t="shared" si="13"/>
        <v>3.4456457368702301E-2</v>
      </c>
      <c r="K39" s="60">
        <f t="shared" si="13"/>
        <v>1.9700754573541746E-2</v>
      </c>
      <c r="L39" s="60">
        <f t="shared" si="13"/>
        <v>1.1125001187751428E-2</v>
      </c>
      <c r="M39" s="60">
        <f t="shared" si="13"/>
        <v>6.2194569479969014E-3</v>
      </c>
      <c r="N39" s="60">
        <f t="shared" si="13"/>
        <v>3.4482658533054708E-3</v>
      </c>
      <c r="O39" s="61"/>
    </row>
    <row r="40" spans="1:16" ht="15.75">
      <c r="A40" s="41">
        <f t="shared" si="12"/>
        <v>2</v>
      </c>
      <c r="B40" s="60"/>
      <c r="C40" s="60"/>
      <c r="D40" s="60">
        <f t="shared" ref="D40:N40" si="14">(FACT(D$18)/(FACT(D$18-$A40)*FACT($A40)))*$D$11^(D$18-$A40)*(1-$D$11)^($A40)</f>
        <v>0.24183840327636211</v>
      </c>
      <c r="E40" s="60">
        <f t="shared" si="14"/>
        <v>0.36872810058393313</v>
      </c>
      <c r="F40" s="60">
        <f t="shared" si="14"/>
        <v>0.37479686247312172</v>
      </c>
      <c r="G40" s="60">
        <f t="shared" si="14"/>
        <v>0.31747125659177627</v>
      </c>
      <c r="H40" s="60">
        <f t="shared" si="14"/>
        <v>0.24202230052624957</v>
      </c>
      <c r="I40" s="60">
        <f t="shared" si="14"/>
        <v>0.17220396036938906</v>
      </c>
      <c r="J40" s="60">
        <f t="shared" si="14"/>
        <v>0.116692135206913</v>
      </c>
      <c r="K40" s="60">
        <f t="shared" si="14"/>
        <v>7.6251039864993375E-2</v>
      </c>
      <c r="L40" s="60">
        <f t="shared" si="14"/>
        <v>4.8441267522827305E-2</v>
      </c>
      <c r="M40" s="60">
        <f t="shared" si="14"/>
        <v>3.009022179264834E-2</v>
      </c>
      <c r="N40" s="60">
        <f t="shared" si="14"/>
        <v>1.835127949480132E-2</v>
      </c>
      <c r="O40" s="61"/>
    </row>
    <row r="41" spans="1:16" ht="15.75">
      <c r="A41" s="41">
        <f t="shared" si="12"/>
        <v>3</v>
      </c>
      <c r="B41" s="60"/>
      <c r="C41" s="60"/>
      <c r="D41" s="60"/>
      <c r="E41" s="60">
        <f t="shared" ref="E41:N41" si="15">(FACT(E$18)/(FACT(E$18-$A41)*FACT($A41)))*$D$11^(E$18-$A41)*(1-$D$11)^($A41)</f>
        <v>0.11892903641505108</v>
      </c>
      <c r="F41" s="60">
        <f t="shared" si="15"/>
        <v>0.24177289246316294</v>
      </c>
      <c r="G41" s="60">
        <f t="shared" si="15"/>
        <v>0.30719018086342659</v>
      </c>
      <c r="H41" s="60">
        <f t="shared" si="15"/>
        <v>0.31224611248188638</v>
      </c>
      <c r="I41" s="60">
        <f t="shared" si="15"/>
        <v>0.2777121006122672</v>
      </c>
      <c r="J41" s="60">
        <f t="shared" si="15"/>
        <v>0.22582629057121142</v>
      </c>
      <c r="K41" s="60">
        <f t="shared" si="15"/>
        <v>0.17215731260242118</v>
      </c>
      <c r="L41" s="60">
        <f t="shared" si="15"/>
        <v>0.12499341948910508</v>
      </c>
      <c r="M41" s="60">
        <f t="shared" si="15"/>
        <v>8.7347315539088421E-2</v>
      </c>
      <c r="N41" s="60">
        <f t="shared" si="15"/>
        <v>5.9189955521255617E-2</v>
      </c>
      <c r="O41" s="61"/>
    </row>
    <row r="42" spans="1:16" ht="15.75">
      <c r="A42" s="41">
        <f t="shared" si="12"/>
        <v>4</v>
      </c>
      <c r="B42" s="60"/>
      <c r="C42" s="60"/>
      <c r="D42" s="60"/>
      <c r="E42" s="60"/>
      <c r="F42" s="60">
        <f t="shared" ref="F42:N42" si="16">(FACT(F$18)/(FACT(F$18-$A42)*FACT($A42)))*$D$11^(F$18-$A42)*(1-$D$11)^($A42)</f>
        <v>5.848581329926035E-2</v>
      </c>
      <c r="G42" s="60">
        <f t="shared" si="16"/>
        <v>0.14862102514724035</v>
      </c>
      <c r="H42" s="60">
        <f t="shared" si="16"/>
        <v>0.22660068693372512</v>
      </c>
      <c r="I42" s="60">
        <f t="shared" si="16"/>
        <v>0.268718596231034</v>
      </c>
      <c r="J42" s="60">
        <f t="shared" si="16"/>
        <v>0.27314133801052021</v>
      </c>
      <c r="K42" s="60">
        <f t="shared" si="16"/>
        <v>0.24987318488159391</v>
      </c>
      <c r="L42" s="60">
        <f t="shared" si="16"/>
        <v>0.211654797400119</v>
      </c>
      <c r="M42" s="60">
        <f t="shared" si="16"/>
        <v>0.16903727251686212</v>
      </c>
      <c r="N42" s="60">
        <f t="shared" si="16"/>
        <v>0.12886454669444017</v>
      </c>
      <c r="O42" s="61"/>
    </row>
    <row r="43" spans="1:16" ht="15.75">
      <c r="A43" s="41">
        <f t="shared" si="12"/>
        <v>5</v>
      </c>
      <c r="B43" s="60"/>
      <c r="C43" s="60"/>
      <c r="D43" s="60"/>
      <c r="E43" s="60"/>
      <c r="F43" s="60"/>
      <c r="G43" s="60">
        <f t="shared" ref="G43:N43" si="17">(FACT(G$18)/(FACT(G$18-$A43)*FACT($A43)))*$D$11^(G$18-$A43)*(1-$D$11)^($A43)</f>
        <v>2.8761608269812278E-2</v>
      </c>
      <c r="H43" s="60">
        <f t="shared" si="17"/>
        <v>8.7704955403198392E-2</v>
      </c>
      <c r="I43" s="60">
        <f t="shared" si="17"/>
        <v>0.15600980396859473</v>
      </c>
      <c r="J43" s="60">
        <f t="shared" si="17"/>
        <v>0.21143668356123815</v>
      </c>
      <c r="K43" s="60">
        <f t="shared" si="17"/>
        <v>0.24178122353734247</v>
      </c>
      <c r="L43" s="60">
        <f t="shared" si="17"/>
        <v>0.24576061288304499</v>
      </c>
      <c r="M43" s="60">
        <f t="shared" si="17"/>
        <v>0.22898837275665485</v>
      </c>
      <c r="N43" s="60">
        <f t="shared" si="17"/>
        <v>0.19950617932936479</v>
      </c>
      <c r="O43" s="61"/>
    </row>
    <row r="44" spans="1:16" ht="15.75">
      <c r="A44" s="41">
        <f t="shared" si="12"/>
        <v>6</v>
      </c>
      <c r="B44" s="60"/>
      <c r="C44" s="60"/>
      <c r="D44" s="60"/>
      <c r="E44" s="60"/>
      <c r="F44" s="60"/>
      <c r="G44" s="60"/>
      <c r="H44" s="60">
        <f t="shared" ref="H44:N44" si="18">(FACT(H$18)/(FACT(H$18-$A44)*FACT($A44)))*$D$11^(H$18-$A44)*(1-$D$11)^($A44)</f>
        <v>1.4144115702612547E-2</v>
      </c>
      <c r="I44" s="60">
        <f t="shared" si="18"/>
        <v>5.0319179980866539E-2</v>
      </c>
      <c r="J44" s="60">
        <f t="shared" si="18"/>
        <v>0.10229473017750726</v>
      </c>
      <c r="K44" s="60">
        <f t="shared" si="18"/>
        <v>0.15596754298362892</v>
      </c>
      <c r="L44" s="60">
        <f t="shared" si="18"/>
        <v>0.19816819515969997</v>
      </c>
      <c r="M44" s="60">
        <f t="shared" si="18"/>
        <v>0.22157275086226097</v>
      </c>
      <c r="N44" s="60">
        <f t="shared" si="18"/>
        <v>0.22521953629571748</v>
      </c>
      <c r="O44" s="61"/>
    </row>
    <row r="45" spans="1:16" ht="15.75">
      <c r="A45" s="41">
        <f t="shared" si="12"/>
        <v>7</v>
      </c>
      <c r="B45" s="60"/>
      <c r="C45" s="60"/>
      <c r="D45" s="60"/>
      <c r="E45" s="60"/>
      <c r="F45" s="60"/>
      <c r="G45" s="60"/>
      <c r="H45" s="60"/>
      <c r="I45" s="60">
        <f t="shared" ref="I45:N45" si="19">(FACT(I$18)/(FACT(I$18-$A45)*FACT($A45)))*$D$11^(I$18-$A45)*(1-$D$11)^($A45)</f>
        <v>6.9556614196316126E-3</v>
      </c>
      <c r="J45" s="60">
        <f t="shared" si="19"/>
        <v>2.8280568498845391E-2</v>
      </c>
      <c r="K45" s="60">
        <f t="shared" si="19"/>
        <v>6.467856323523978E-2</v>
      </c>
      <c r="L45" s="60">
        <f t="shared" si="19"/>
        <v>0.10957180702821272</v>
      </c>
      <c r="M45" s="60">
        <f t="shared" si="19"/>
        <v>0.15314091320648496</v>
      </c>
      <c r="N45" s="60">
        <f t="shared" si="19"/>
        <v>0.18679368465326093</v>
      </c>
      <c r="O45" s="61"/>
    </row>
    <row r="46" spans="1:16" ht="15.75">
      <c r="A46" s="41">
        <f t="shared" si="12"/>
        <v>8</v>
      </c>
      <c r="B46" s="60"/>
      <c r="C46" s="60"/>
      <c r="D46" s="60"/>
      <c r="E46" s="60"/>
      <c r="F46" s="60"/>
      <c r="G46" s="60"/>
      <c r="H46" s="60"/>
      <c r="I46" s="60"/>
      <c r="J46" s="60">
        <f>(FACT(J$18)/(FACT(J$18-$A46)*FACT($A46)))*$D$11^(J$18-$A46)*(1-$D$11)^($A46)</f>
        <v>3.4205903572759387E-3</v>
      </c>
      <c r="K46" s="60">
        <f>(FACT(K$18)/(FACT(K$18-$A46)*FACT($A46)))*$D$11^(K$18-$A46)*(1-$D$11)^($A46)</f>
        <v>1.5645998752391119E-2</v>
      </c>
      <c r="L46" s="60">
        <f>(FACT(L$18)/(FACT(L$18-$A46)*FACT($A46)))*$D$11^(L$18-$A46)*(1-$D$11)^($A46)</f>
        <v>3.9758776408469969E-2</v>
      </c>
      <c r="M46" s="60">
        <f>(FACT(M$18)/(FACT(M$18-$A46)*FACT($A46)))*$D$11^(M$18-$A46)*(1-$D$11)^($A46)</f>
        <v>7.4090778060550005E-2</v>
      </c>
      <c r="N46" s="60">
        <f>(FACT(N$18)/(FACT(N$18-$A46)*FACT($A46)))*$D$11^(N$18-$A46)*(1-$D$11)^($A46)</f>
        <v>0.11296531690143939</v>
      </c>
      <c r="O46" s="61"/>
    </row>
    <row r="47" spans="1:16" ht="15.75">
      <c r="A47" s="41">
        <f t="shared" si="12"/>
        <v>9</v>
      </c>
      <c r="B47" s="60"/>
      <c r="C47" s="60"/>
      <c r="D47" s="60"/>
      <c r="E47" s="60"/>
      <c r="F47" s="60"/>
      <c r="G47" s="60"/>
      <c r="H47" s="60"/>
      <c r="I47" s="60"/>
      <c r="J47" s="60"/>
      <c r="K47" s="60">
        <f>(FACT(K$18)/(FACT(K$18-$A47)*FACT($A47)))*$D$11^(K$18-$A47)*(1-$D$11)^($A47)</f>
        <v>1.6821460514547034E-3</v>
      </c>
      <c r="L47" s="60">
        <f>(FACT(L$18)/(FACT(L$18-$A47)*FACT($A47)))*$D$11^(L$18-$A47)*(1-$D$11)^($A47)</f>
        <v>8.5491594118856928E-3</v>
      </c>
      <c r="M47" s="60">
        <f>(FACT(M$18)/(FACT(M$18-$A47)*FACT($A47)))*$D$11^(M$18-$A47)*(1-$D$11)^($A47)</f>
        <v>2.3897134034613292E-2</v>
      </c>
      <c r="N47" s="60">
        <f>(FACT(N$18)/(FACT(N$18-$A47)*FACT($A47)))*$D$11^(N$18-$A47)*(1-$D$11)^($A47)</f>
        <v>4.8580896568982505E-2</v>
      </c>
      <c r="O47" s="61"/>
    </row>
    <row r="48" spans="1:16" ht="15.75">
      <c r="A48" s="41">
        <f t="shared" si="12"/>
        <v>10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>
        <f>(FACT(L$18)/(FACT(L$18-$A48)*FACT($A48)))*$D$11^(L$18-$A48)*(1-$D$11)^($A48)</f>
        <v>8.2723011026613398E-4</v>
      </c>
      <c r="M48" s="60">
        <f>(FACT(M$18)/(FACT(M$18-$A48)*FACT($A48)))*$D$11^(M$18-$A48)*(1-$D$11)^($A48)</f>
        <v>4.6246485461516043E-3</v>
      </c>
      <c r="N48" s="60">
        <f>(FACT(N$18)/(FACT(N$18-$A48)*FACT($A48)))*$D$11^(N$18-$A48)*(1-$D$11)^($A48)</f>
        <v>1.4102291870841199E-2</v>
      </c>
      <c r="O48" s="61"/>
    </row>
    <row r="49" spans="1:15" ht="15.75">
      <c r="A49" s="41">
        <f t="shared" si="12"/>
        <v>11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>
        <f>(FACT(M$18)/(FACT(M$18-$A49)*FACT($A49)))*$D$11^(M$18-$A49)*(1-$D$11)^($A49)</f>
        <v>4.0680751516144272E-4</v>
      </c>
      <c r="N49" s="60">
        <f>(FACT(N$18)/(FACT(N$18-$A49)*FACT($A49)))*$D$11^(N$18-$A49)*(1-$D$11)^($A49)</f>
        <v>2.4810180738306232E-3</v>
      </c>
      <c r="O49" s="61"/>
    </row>
    <row r="50" spans="1:15" ht="15.75">
      <c r="A50" s="41">
        <f t="shared" si="12"/>
        <v>12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>
        <f>(FACT(N$18)/(FACT(N$18-$A50)*FACT($A50)))*$D$11^(N$18-$A50)*(1-$D$11)^($A50)</f>
        <v>2.000560090088908E-4</v>
      </c>
      <c r="O50" s="61"/>
    </row>
    <row r="51" spans="1:15" ht="15.75" thickBot="1"/>
    <row r="52" spans="1:15">
      <c r="B52" s="62" t="s">
        <v>40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3"/>
    </row>
    <row r="53" spans="1:15">
      <c r="B53" s="64">
        <f t="shared" ref="B53:N53" si="20">B38*B21</f>
        <v>100</v>
      </c>
      <c r="C53" s="10">
        <f t="shared" si="20"/>
        <v>53.489746446186182</v>
      </c>
      <c r="D53" s="10">
        <f t="shared" si="20"/>
        <v>28.61152974877287</v>
      </c>
      <c r="E53" s="10">
        <f t="shared" si="20"/>
        <v>15.304234716993738</v>
      </c>
      <c r="F53" s="10">
        <f t="shared" si="20"/>
        <v>8.1861963456491491</v>
      </c>
      <c r="G53" s="10">
        <f t="shared" si="20"/>
        <v>4.3787756688746899</v>
      </c>
      <c r="H53" s="10">
        <f t="shared" si="20"/>
        <v>2.3421960027283641</v>
      </c>
      <c r="I53" s="10">
        <f t="shared" si="20"/>
        <v>1.2528347031321101</v>
      </c>
      <c r="J53" s="10">
        <f t="shared" si="20"/>
        <v>0.67013810609519497</v>
      </c>
      <c r="K53" s="10">
        <f t="shared" si="20"/>
        <v>0.35845517378959396</v>
      </c>
      <c r="L53" s="10">
        <f t="shared" si="20"/>
        <v>0.19173676358328981</v>
      </c>
      <c r="M53" s="10">
        <f t="shared" si="20"/>
        <v>0.10255950868482515</v>
      </c>
      <c r="N53" s="65">
        <f t="shared" si="20"/>
        <v>5.4858821151967274E-2</v>
      </c>
    </row>
    <row r="54" spans="1:15">
      <c r="B54" s="64"/>
      <c r="C54" s="10">
        <f t="shared" ref="C54:N54" si="21">C39*C22</f>
        <v>46.261497334908348</v>
      </c>
      <c r="D54" s="10">
        <f t="shared" si="21"/>
        <v>49.490315253303308</v>
      </c>
      <c r="E54" s="10">
        <f t="shared" si="21"/>
        <v>39.708366216615218</v>
      </c>
      <c r="F54" s="10">
        <f t="shared" si="21"/>
        <v>28.319872542920713</v>
      </c>
      <c r="G54" s="10">
        <f t="shared" si="21"/>
        <v>18.93528502136423</v>
      </c>
      <c r="H54" s="10">
        <f t="shared" si="21"/>
        <v>12.154123136148479</v>
      </c>
      <c r="I54" s="10">
        <f t="shared" si="21"/>
        <v>7.5847445896635852</v>
      </c>
      <c r="J54" s="10">
        <f t="shared" si="21"/>
        <v>4.6366407424021441</v>
      </c>
      <c r="K54" s="10">
        <f t="shared" si="21"/>
        <v>2.7901432988229051</v>
      </c>
      <c r="L54" s="10">
        <f t="shared" si="21"/>
        <v>1.6582673066951412</v>
      </c>
      <c r="M54" s="10">
        <f t="shared" si="21"/>
        <v>0.9757032755263545</v>
      </c>
      <c r="N54" s="65">
        <f t="shared" si="21"/>
        <v>0.56934677252310584</v>
      </c>
    </row>
    <row r="55" spans="1:15">
      <c r="B55" s="64"/>
      <c r="C55" s="10"/>
      <c r="D55" s="10">
        <f t="shared" ref="D55:N55" si="22">D40*D23</f>
        <v>21.401261356677324</v>
      </c>
      <c r="E55" s="10">
        <f t="shared" si="22"/>
        <v>34.342441307916985</v>
      </c>
      <c r="F55" s="10">
        <f t="shared" si="22"/>
        <v>36.739369558070194</v>
      </c>
      <c r="G55" s="10">
        <f t="shared" si="22"/>
        <v>32.752992704231765</v>
      </c>
      <c r="H55" s="10">
        <f t="shared" si="22"/>
        <v>26.279239126547143</v>
      </c>
      <c r="I55" s="10">
        <f t="shared" si="22"/>
        <v>19.679377727487832</v>
      </c>
      <c r="J55" s="10">
        <f t="shared" si="22"/>
        <v>14.0352656648273</v>
      </c>
      <c r="K55" s="10">
        <f t="shared" si="22"/>
        <v>9.6524074506403945</v>
      </c>
      <c r="L55" s="10">
        <f t="shared" si="22"/>
        <v>6.4538103391254111</v>
      </c>
      <c r="M55" s="10">
        <f t="shared" si="22"/>
        <v>4.2192660724083613</v>
      </c>
      <c r="N55" s="65">
        <f t="shared" si="22"/>
        <v>2.7082496688254278</v>
      </c>
    </row>
    <row r="56" spans="1:15">
      <c r="B56" s="64"/>
      <c r="C56" s="10"/>
      <c r="D56" s="10"/>
      <c r="E56" s="10">
        <f t="shared" ref="E56:N56" si="23">E41*E24</f>
        <v>9.9005439521560525</v>
      </c>
      <c r="F56" s="10">
        <f t="shared" si="23"/>
        <v>21.183103427205971</v>
      </c>
      <c r="G56" s="10">
        <f t="shared" si="23"/>
        <v>28.326970781614619</v>
      </c>
      <c r="H56" s="10">
        <f t="shared" si="23"/>
        <v>30.304049693941806</v>
      </c>
      <c r="I56" s="10">
        <f t="shared" si="23"/>
        <v>28.366728852377527</v>
      </c>
      <c r="J56" s="10">
        <f t="shared" si="23"/>
        <v>24.277266141142213</v>
      </c>
      <c r="K56" s="10">
        <f t="shared" si="23"/>
        <v>19.478772154444169</v>
      </c>
      <c r="L56" s="10">
        <f t="shared" si="23"/>
        <v>14.884494051775002</v>
      </c>
      <c r="M56" s="10">
        <f t="shared" si="23"/>
        <v>10.947307426126651</v>
      </c>
      <c r="N56" s="65">
        <f t="shared" si="23"/>
        <v>7.8075826465595446</v>
      </c>
    </row>
    <row r="57" spans="1:15">
      <c r="B57" s="64"/>
      <c r="C57" s="10"/>
      <c r="D57" s="10"/>
      <c r="E57" s="10"/>
      <c r="F57" s="10">
        <f t="shared" ref="F57:N57" si="24">F42*F25</f>
        <v>4.5801398765681025</v>
      </c>
      <c r="G57" s="10">
        <f t="shared" si="24"/>
        <v>12.249526034284711</v>
      </c>
      <c r="H57" s="10">
        <f t="shared" si="24"/>
        <v>19.656721249795375</v>
      </c>
      <c r="I57" s="10">
        <f t="shared" si="24"/>
        <v>24.533437497681341</v>
      </c>
      <c r="J57" s="10">
        <f t="shared" si="24"/>
        <v>26.245747024086619</v>
      </c>
      <c r="K57" s="10">
        <f t="shared" si="24"/>
        <v>25.269810364964503</v>
      </c>
      <c r="L57" s="10">
        <f t="shared" si="24"/>
        <v>22.527929152752648</v>
      </c>
      <c r="M57" s="10">
        <f t="shared" si="24"/>
        <v>18.935922002460334</v>
      </c>
      <c r="N57" s="65">
        <f t="shared" si="24"/>
        <v>15.193164999545417</v>
      </c>
    </row>
    <row r="58" spans="1:15">
      <c r="B58" s="64"/>
      <c r="C58" s="10"/>
      <c r="D58" s="10"/>
      <c r="E58" s="10"/>
      <c r="F58" s="10"/>
      <c r="G58" s="10">
        <f t="shared" ref="G58:N58" si="25">G43*G26</f>
        <v>2.1188412869336273</v>
      </c>
      <c r="H58" s="10">
        <f t="shared" si="25"/>
        <v>6.8001769918674331</v>
      </c>
      <c r="I58" s="10">
        <f t="shared" si="25"/>
        <v>12.73089100794623</v>
      </c>
      <c r="J58" s="10">
        <f t="shared" si="25"/>
        <v>18.159256854642013</v>
      </c>
      <c r="K58" s="10">
        <f t="shared" si="25"/>
        <v>21.855016008134314</v>
      </c>
      <c r="L58" s="10">
        <f t="shared" si="25"/>
        <v>23.380385297048896</v>
      </c>
      <c r="M58" s="10">
        <f t="shared" si="25"/>
        <v>22.927866158143555</v>
      </c>
      <c r="N58" s="65">
        <f t="shared" si="25"/>
        <v>21.024098526020428</v>
      </c>
    </row>
    <row r="59" spans="1:15">
      <c r="B59" s="64"/>
      <c r="C59" s="10"/>
      <c r="D59" s="10"/>
      <c r="E59" s="10"/>
      <c r="F59" s="10"/>
      <c r="G59" s="10"/>
      <c r="H59" s="10">
        <f t="shared" ref="H59:N59" si="26">H44*H27</f>
        <v>0.98020770548573766</v>
      </c>
      <c r="I59" s="10">
        <f t="shared" si="26"/>
        <v>3.6701743141721042</v>
      </c>
      <c r="J59" s="10">
        <f t="shared" si="26"/>
        <v>7.8526677391348443</v>
      </c>
      <c r="K59" s="10">
        <f t="shared" si="26"/>
        <v>12.601116188774068</v>
      </c>
      <c r="L59" s="10">
        <f t="shared" si="26"/>
        <v>16.850762746911414</v>
      </c>
      <c r="M59" s="10">
        <f t="shared" si="26"/>
        <v>19.829546588656896</v>
      </c>
      <c r="N59" s="65">
        <f t="shared" si="26"/>
        <v>21.213548383401875</v>
      </c>
    </row>
    <row r="60" spans="1:15">
      <c r="B60" s="64"/>
      <c r="C60" s="10"/>
      <c r="D60" s="10"/>
      <c r="E60" s="10"/>
      <c r="F60" s="10"/>
      <c r="G60" s="10"/>
      <c r="H60" s="10"/>
      <c r="I60" s="10">
        <f t="shared" ref="I60:N60" si="27">I45*I28</f>
        <v>0.45345876154985076</v>
      </c>
      <c r="J60" s="10">
        <f t="shared" si="27"/>
        <v>1.9404315343282497</v>
      </c>
      <c r="K60" s="10">
        <f t="shared" si="27"/>
        <v>4.6706935845330939</v>
      </c>
      <c r="L60" s="10">
        <f t="shared" si="27"/>
        <v>8.3278071854834561</v>
      </c>
      <c r="M60" s="10">
        <f t="shared" si="27"/>
        <v>12.249938107116524</v>
      </c>
      <c r="N60" s="65">
        <f t="shared" si="27"/>
        <v>15.725905999947292</v>
      </c>
    </row>
    <row r="61" spans="1:15">
      <c r="B61" s="64"/>
      <c r="C61" s="10"/>
      <c r="D61" s="10"/>
      <c r="E61" s="10"/>
      <c r="F61" s="10"/>
      <c r="G61" s="10"/>
      <c r="H61" s="10"/>
      <c r="I61" s="10"/>
      <c r="J61" s="10">
        <f>J46*J29</f>
        <v>0.20977681288929265</v>
      </c>
      <c r="K61" s="10">
        <f>K46*K29</f>
        <v>1.0098817678563579</v>
      </c>
      <c r="L61" s="10">
        <f>L46*L29</f>
        <v>2.700915985163141</v>
      </c>
      <c r="M61" s="10">
        <f>M46*M29</f>
        <v>5.2972814113570124</v>
      </c>
      <c r="N61" s="65">
        <f>N46*N29</f>
        <v>8.500507186427452</v>
      </c>
    </row>
    <row r="62" spans="1:15">
      <c r="B62" s="64"/>
      <c r="C62" s="10"/>
      <c r="D62" s="10"/>
      <c r="E62" s="10"/>
      <c r="F62" s="10"/>
      <c r="G62" s="10"/>
      <c r="H62" s="10"/>
      <c r="I62" s="10"/>
      <c r="J62" s="10"/>
      <c r="K62" s="10">
        <f>K47*K30</f>
        <v>9.7045894704035796E-2</v>
      </c>
      <c r="L62" s="10">
        <f>L47*L30</f>
        <v>0.51909603013621575</v>
      </c>
      <c r="M62" s="10">
        <f>M47*M30</f>
        <v>1.5271473268264402</v>
      </c>
      <c r="N62" s="65">
        <f>N47*N30</f>
        <v>3.2674689319166936</v>
      </c>
    </row>
    <row r="63" spans="1:15">
      <c r="B63" s="64"/>
      <c r="C63" s="10"/>
      <c r="D63" s="10"/>
      <c r="E63" s="10"/>
      <c r="F63" s="10"/>
      <c r="G63" s="10"/>
      <c r="H63" s="10"/>
      <c r="I63" s="10"/>
      <c r="J63" s="10"/>
      <c r="K63" s="10"/>
      <c r="L63" s="10">
        <f>L48*L31</f>
        <v>4.4894883992145487E-2</v>
      </c>
      <c r="M63" s="10">
        <f>M48*M31</f>
        <v>0.26415575576178862</v>
      </c>
      <c r="N63" s="65">
        <f>N48*N31</f>
        <v>0.84777746387992536</v>
      </c>
    </row>
    <row r="64" spans="1:15">
      <c r="B64" s="6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>
        <f>M49*M32</f>
        <v>2.0769045561536581E-2</v>
      </c>
      <c r="N64" s="65">
        <f>N49*N32</f>
        <v>0.13331171772190567</v>
      </c>
    </row>
    <row r="65" spans="1:15" ht="15.75" thickBot="1">
      <c r="B65" s="66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8">
        <f>N50*N33</f>
        <v>9.6080714589361453E-3</v>
      </c>
    </row>
    <row r="67" spans="1:15" ht="15.75">
      <c r="B67" s="34" t="s">
        <v>51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 t="s">
        <v>52</v>
      </c>
    </row>
    <row r="68" spans="1:15" ht="15.75">
      <c r="B68" s="34">
        <v>0</v>
      </c>
      <c r="C68" s="34">
        <v>1</v>
      </c>
      <c r="D68" s="34">
        <v>2</v>
      </c>
      <c r="E68" s="34">
        <v>3</v>
      </c>
      <c r="F68" s="34">
        <v>4</v>
      </c>
      <c r="G68" s="34">
        <v>5</v>
      </c>
      <c r="H68" s="34">
        <v>6</v>
      </c>
      <c r="I68" s="34">
        <v>7</v>
      </c>
      <c r="J68" s="34">
        <v>8</v>
      </c>
      <c r="K68" s="34">
        <v>9</v>
      </c>
      <c r="L68" s="34">
        <v>10</v>
      </c>
      <c r="M68" s="34">
        <v>11</v>
      </c>
      <c r="N68" s="34">
        <v>12</v>
      </c>
    </row>
    <row r="69" spans="1:15" ht="15.75">
      <c r="A69" s="41" t="s">
        <v>53</v>
      </c>
      <c r="B69" s="32" t="s">
        <v>41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5" ht="15.75">
      <c r="A70" s="41">
        <v>0</v>
      </c>
      <c r="B70" s="43">
        <f>B11</f>
        <v>88.235294117647058</v>
      </c>
      <c r="C70" s="43">
        <f t="shared" ref="C70:N70" si="28">(1+$D$7)*B$70</f>
        <v>88.381021879581198</v>
      </c>
      <c r="D70" s="43">
        <f t="shared" si="28"/>
        <v>88.526990322762117</v>
      </c>
      <c r="E70" s="43">
        <f t="shared" si="28"/>
        <v>88.673199844694466</v>
      </c>
      <c r="F70" s="43">
        <f t="shared" si="28"/>
        <v>88.819650843539392</v>
      </c>
      <c r="G70" s="43">
        <f t="shared" si="28"/>
        <v>88.966343718115667</v>
      </c>
      <c r="H70" s="43">
        <f t="shared" si="28"/>
        <v>89.113278867900718</v>
      </c>
      <c r="I70" s="43">
        <f t="shared" si="28"/>
        <v>89.260456693031742</v>
      </c>
      <c r="J70" s="43">
        <f t="shared" si="28"/>
        <v>89.407877594306811</v>
      </c>
      <c r="K70" s="43">
        <f t="shared" si="28"/>
        <v>89.555541973185939</v>
      </c>
      <c r="L70" s="43">
        <f t="shared" si="28"/>
        <v>89.703450231792189</v>
      </c>
      <c r="M70" s="43">
        <f t="shared" si="28"/>
        <v>89.851602772912742</v>
      </c>
      <c r="N70" s="43">
        <f t="shared" si="28"/>
        <v>90.000000000000043</v>
      </c>
      <c r="O70" s="44"/>
    </row>
    <row r="71" spans="1:15" ht="15.75">
      <c r="A71" s="41">
        <f t="shared" ref="A71:A82" si="29">1+A70</f>
        <v>1</v>
      </c>
      <c r="B71" s="43"/>
      <c r="C71" s="43">
        <f t="shared" ref="C71:N71" si="30">(1+$D$7)*B$70</f>
        <v>88.381021879581198</v>
      </c>
      <c r="D71" s="43">
        <f t="shared" si="30"/>
        <v>88.526990322762117</v>
      </c>
      <c r="E71" s="43">
        <f t="shared" si="30"/>
        <v>88.673199844694466</v>
      </c>
      <c r="F71" s="43">
        <f t="shared" si="30"/>
        <v>88.819650843539392</v>
      </c>
      <c r="G71" s="43">
        <f t="shared" si="30"/>
        <v>88.966343718115667</v>
      </c>
      <c r="H71" s="43">
        <f t="shared" si="30"/>
        <v>89.113278867900718</v>
      </c>
      <c r="I71" s="43">
        <f t="shared" si="30"/>
        <v>89.260456693031742</v>
      </c>
      <c r="J71" s="43">
        <f t="shared" si="30"/>
        <v>89.407877594306811</v>
      </c>
      <c r="K71" s="43">
        <f t="shared" si="30"/>
        <v>89.555541973185939</v>
      </c>
      <c r="L71" s="43">
        <f t="shared" si="30"/>
        <v>89.703450231792189</v>
      </c>
      <c r="M71" s="43">
        <f t="shared" si="30"/>
        <v>89.851602772912742</v>
      </c>
      <c r="N71" s="43">
        <f t="shared" si="30"/>
        <v>90.000000000000043</v>
      </c>
      <c r="O71" s="44"/>
    </row>
    <row r="72" spans="1:15" ht="15.75">
      <c r="A72" s="41">
        <f t="shared" si="29"/>
        <v>2</v>
      </c>
      <c r="B72" s="43"/>
      <c r="C72" s="43"/>
      <c r="D72" s="43">
        <f t="shared" ref="D72:N72" si="31">(1+$D$7)*C$70</f>
        <v>88.526990322762117</v>
      </c>
      <c r="E72" s="43">
        <f t="shared" si="31"/>
        <v>88.673199844694466</v>
      </c>
      <c r="F72" s="43">
        <f t="shared" si="31"/>
        <v>88.819650843539392</v>
      </c>
      <c r="G72" s="43">
        <f t="shared" si="31"/>
        <v>88.966343718115667</v>
      </c>
      <c r="H72" s="43">
        <f t="shared" si="31"/>
        <v>89.113278867900718</v>
      </c>
      <c r="I72" s="43">
        <f t="shared" si="31"/>
        <v>89.260456693031742</v>
      </c>
      <c r="J72" s="43">
        <f t="shared" si="31"/>
        <v>89.407877594306811</v>
      </c>
      <c r="K72" s="43">
        <f t="shared" si="31"/>
        <v>89.555541973185939</v>
      </c>
      <c r="L72" s="43">
        <f t="shared" si="31"/>
        <v>89.703450231792189</v>
      </c>
      <c r="M72" s="43">
        <f t="shared" si="31"/>
        <v>89.851602772912742</v>
      </c>
      <c r="N72" s="43">
        <f t="shared" si="31"/>
        <v>90.000000000000043</v>
      </c>
      <c r="O72" s="44"/>
    </row>
    <row r="73" spans="1:15" ht="15.75">
      <c r="A73" s="41">
        <f t="shared" si="29"/>
        <v>3</v>
      </c>
      <c r="B73" s="43"/>
      <c r="C73" s="43"/>
      <c r="D73" s="43"/>
      <c r="E73" s="43">
        <f t="shared" ref="E73:N73" si="32">(1+$D$7)*D$70</f>
        <v>88.673199844694466</v>
      </c>
      <c r="F73" s="43">
        <f t="shared" si="32"/>
        <v>88.819650843539392</v>
      </c>
      <c r="G73" s="43">
        <f t="shared" si="32"/>
        <v>88.966343718115667</v>
      </c>
      <c r="H73" s="43">
        <f t="shared" si="32"/>
        <v>89.113278867900718</v>
      </c>
      <c r="I73" s="43">
        <f t="shared" si="32"/>
        <v>89.260456693031742</v>
      </c>
      <c r="J73" s="43">
        <f t="shared" si="32"/>
        <v>89.407877594306811</v>
      </c>
      <c r="K73" s="43">
        <f t="shared" si="32"/>
        <v>89.555541973185939</v>
      </c>
      <c r="L73" s="43">
        <f t="shared" si="32"/>
        <v>89.703450231792189</v>
      </c>
      <c r="M73" s="43">
        <f t="shared" si="32"/>
        <v>89.851602772912742</v>
      </c>
      <c r="N73" s="43">
        <f t="shared" si="32"/>
        <v>90.000000000000043</v>
      </c>
      <c r="O73" s="44"/>
    </row>
    <row r="74" spans="1:15" ht="15.75">
      <c r="A74" s="41">
        <f t="shared" si="29"/>
        <v>4</v>
      </c>
      <c r="B74" s="43"/>
      <c r="C74" s="43"/>
      <c r="D74" s="43"/>
      <c r="E74" s="43"/>
      <c r="F74" s="43">
        <f t="shared" ref="F74:N74" si="33">(1+$D$7)*E$70</f>
        <v>88.819650843539392</v>
      </c>
      <c r="G74" s="43">
        <f t="shared" si="33"/>
        <v>88.966343718115667</v>
      </c>
      <c r="H74" s="43">
        <f t="shared" si="33"/>
        <v>89.113278867900718</v>
      </c>
      <c r="I74" s="43">
        <f t="shared" si="33"/>
        <v>89.260456693031742</v>
      </c>
      <c r="J74" s="43">
        <f t="shared" si="33"/>
        <v>89.407877594306811</v>
      </c>
      <c r="K74" s="43">
        <f t="shared" si="33"/>
        <v>89.555541973185939</v>
      </c>
      <c r="L74" s="43">
        <f t="shared" si="33"/>
        <v>89.703450231792189</v>
      </c>
      <c r="M74" s="43">
        <f t="shared" si="33"/>
        <v>89.851602772912742</v>
      </c>
      <c r="N74" s="43">
        <f t="shared" si="33"/>
        <v>90.000000000000043</v>
      </c>
      <c r="O74" s="44"/>
    </row>
    <row r="75" spans="1:15" ht="15.75">
      <c r="A75" s="41">
        <f t="shared" si="29"/>
        <v>5</v>
      </c>
      <c r="B75" s="43"/>
      <c r="C75" s="43"/>
      <c r="D75" s="43"/>
      <c r="E75" s="43"/>
      <c r="F75" s="43"/>
      <c r="G75" s="43">
        <f t="shared" ref="G75:N75" si="34">(1+$D$7)*F$70</f>
        <v>88.966343718115667</v>
      </c>
      <c r="H75" s="43">
        <f t="shared" si="34"/>
        <v>89.113278867900718</v>
      </c>
      <c r="I75" s="43">
        <f t="shared" si="34"/>
        <v>89.260456693031742</v>
      </c>
      <c r="J75" s="43">
        <f t="shared" si="34"/>
        <v>89.407877594306811</v>
      </c>
      <c r="K75" s="43">
        <f t="shared" si="34"/>
        <v>89.555541973185939</v>
      </c>
      <c r="L75" s="43">
        <f t="shared" si="34"/>
        <v>89.703450231792189</v>
      </c>
      <c r="M75" s="43">
        <f t="shared" si="34"/>
        <v>89.851602772912742</v>
      </c>
      <c r="N75" s="43">
        <f t="shared" si="34"/>
        <v>90.000000000000043</v>
      </c>
      <c r="O75" s="44"/>
    </row>
    <row r="76" spans="1:15" ht="15.75">
      <c r="A76" s="41">
        <f t="shared" si="29"/>
        <v>6</v>
      </c>
      <c r="B76" s="43"/>
      <c r="C76" s="43"/>
      <c r="D76" s="43"/>
      <c r="E76" s="43"/>
      <c r="F76" s="43"/>
      <c r="G76" s="43"/>
      <c r="H76" s="43">
        <f t="shared" ref="H76:N76" si="35">(1+$D$7)*G$70</f>
        <v>89.113278867900718</v>
      </c>
      <c r="I76" s="43">
        <f t="shared" si="35"/>
        <v>89.260456693031742</v>
      </c>
      <c r="J76" s="43">
        <f t="shared" si="35"/>
        <v>89.407877594306811</v>
      </c>
      <c r="K76" s="43">
        <f t="shared" si="35"/>
        <v>89.555541973185939</v>
      </c>
      <c r="L76" s="43">
        <f t="shared" si="35"/>
        <v>89.703450231792189</v>
      </c>
      <c r="M76" s="43">
        <f t="shared" si="35"/>
        <v>89.851602772912742</v>
      </c>
      <c r="N76" s="43">
        <f t="shared" si="35"/>
        <v>90.000000000000043</v>
      </c>
      <c r="O76" s="44"/>
    </row>
    <row r="77" spans="1:15" ht="15.75">
      <c r="A77" s="41">
        <f t="shared" si="29"/>
        <v>7</v>
      </c>
      <c r="B77" s="43"/>
      <c r="C77" s="43"/>
      <c r="D77" s="43"/>
      <c r="E77" s="43"/>
      <c r="F77" s="43"/>
      <c r="G77" s="43"/>
      <c r="H77" s="43"/>
      <c r="I77" s="43">
        <f t="shared" ref="I77:N77" si="36">(1+$D$7)*H$70</f>
        <v>89.260456693031742</v>
      </c>
      <c r="J77" s="43">
        <f t="shared" si="36"/>
        <v>89.407877594306811</v>
      </c>
      <c r="K77" s="43">
        <f t="shared" si="36"/>
        <v>89.555541973185939</v>
      </c>
      <c r="L77" s="43">
        <f t="shared" si="36"/>
        <v>89.703450231792189</v>
      </c>
      <c r="M77" s="43">
        <f t="shared" si="36"/>
        <v>89.851602772912742</v>
      </c>
      <c r="N77" s="43">
        <f t="shared" si="36"/>
        <v>90.000000000000043</v>
      </c>
      <c r="O77" s="44"/>
    </row>
    <row r="78" spans="1:15" ht="15.75">
      <c r="A78" s="41">
        <f t="shared" si="29"/>
        <v>8</v>
      </c>
      <c r="B78" s="43"/>
      <c r="C78" s="43"/>
      <c r="D78" s="43"/>
      <c r="E78" s="43"/>
      <c r="F78" s="43"/>
      <c r="G78" s="43"/>
      <c r="H78" s="43"/>
      <c r="I78" s="43"/>
      <c r="J78" s="43">
        <f>(1+$D$7)*I$70</f>
        <v>89.407877594306811</v>
      </c>
      <c r="K78" s="43">
        <f>(1+$D$7)*J$70</f>
        <v>89.555541973185939</v>
      </c>
      <c r="L78" s="43">
        <f>(1+$D$7)*K$70</f>
        <v>89.703450231792189</v>
      </c>
      <c r="M78" s="43">
        <f>(1+$D$7)*L$70</f>
        <v>89.851602772912742</v>
      </c>
      <c r="N78" s="43">
        <f>(1+$D$7)*M$70</f>
        <v>90.000000000000043</v>
      </c>
      <c r="O78" s="44"/>
    </row>
    <row r="79" spans="1:15" ht="15.75">
      <c r="A79" s="41">
        <f t="shared" si="29"/>
        <v>9</v>
      </c>
      <c r="B79" s="43"/>
      <c r="C79" s="43"/>
      <c r="D79" s="43"/>
      <c r="E79" s="43"/>
      <c r="F79" s="43"/>
      <c r="G79" s="43"/>
      <c r="H79" s="43"/>
      <c r="I79" s="43"/>
      <c r="J79" s="43"/>
      <c r="K79" s="43">
        <f>(1+$D$7)*J$70</f>
        <v>89.555541973185939</v>
      </c>
      <c r="L79" s="43">
        <f>(1+$D$7)*K$70</f>
        <v>89.703450231792189</v>
      </c>
      <c r="M79" s="43">
        <f>(1+$D$7)*L$70</f>
        <v>89.851602772912742</v>
      </c>
      <c r="N79" s="43">
        <f>(1+$D$7)*M$70</f>
        <v>90.000000000000043</v>
      </c>
      <c r="O79" s="44"/>
    </row>
    <row r="80" spans="1:15" ht="15.75">
      <c r="A80" s="41">
        <f t="shared" si="29"/>
        <v>10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>
        <f>(1+$D$7)*K$70</f>
        <v>89.703450231792189</v>
      </c>
      <c r="M80" s="43">
        <f>(1+$D$7)*L$70</f>
        <v>89.851602772912742</v>
      </c>
      <c r="N80" s="43">
        <f>(1+$D$7)*M$70</f>
        <v>90.000000000000043</v>
      </c>
      <c r="O80" s="44"/>
    </row>
    <row r="81" spans="1:15" ht="15.75">
      <c r="A81" s="41">
        <f t="shared" si="29"/>
        <v>11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>
        <f>(1+$D$7)*L$70</f>
        <v>89.851602772912742</v>
      </c>
      <c r="N81" s="43">
        <f>(1+$D$7)*M$70</f>
        <v>90.000000000000043</v>
      </c>
      <c r="O81" s="44"/>
    </row>
    <row r="82" spans="1:15" ht="15.75">
      <c r="A82" s="41">
        <f t="shared" si="29"/>
        <v>12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>
        <f>(1+$D$7)*M$70</f>
        <v>90.000000000000043</v>
      </c>
      <c r="O82" s="44"/>
    </row>
    <row r="83" spans="1:1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44"/>
    </row>
    <row r="84" spans="1:15" ht="15.75">
      <c r="A84" s="34"/>
      <c r="B84" s="34" t="s">
        <v>51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5" t="s">
        <v>52</v>
      </c>
    </row>
    <row r="85" spans="1:15" ht="15.75">
      <c r="A85" s="34"/>
      <c r="B85" s="34">
        <v>0</v>
      </c>
      <c r="C85" s="34">
        <v>1</v>
      </c>
      <c r="D85" s="34">
        <v>2</v>
      </c>
      <c r="E85" s="34">
        <v>3</v>
      </c>
      <c r="F85" s="34">
        <v>4</v>
      </c>
      <c r="G85" s="34">
        <v>5</v>
      </c>
      <c r="H85" s="34">
        <v>6</v>
      </c>
      <c r="I85" s="34">
        <v>7</v>
      </c>
      <c r="J85" s="34">
        <v>8</v>
      </c>
      <c r="K85" s="34">
        <v>9</v>
      </c>
      <c r="L85" s="34">
        <v>10</v>
      </c>
      <c r="M85" s="34">
        <v>11</v>
      </c>
      <c r="N85" s="34">
        <v>12</v>
      </c>
    </row>
    <row r="86" spans="1:15" ht="15.75">
      <c r="A86" s="41" t="s">
        <v>53</v>
      </c>
      <c r="B86" s="32" t="s">
        <v>42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5" ht="15.75">
      <c r="A87" s="41">
        <v>0</v>
      </c>
      <c r="B87" s="43">
        <f t="shared" ref="B87:M87" si="37">(1/(1+$D$4))*(($D$11*C87+(1-$D$11)*C88))</f>
        <v>11.094493935471993</v>
      </c>
      <c r="C87" s="43">
        <f t="shared" si="37"/>
        <v>14.673613343161126</v>
      </c>
      <c r="D87" s="43">
        <f t="shared" si="37"/>
        <v>19.006882052313106</v>
      </c>
      <c r="E87" s="43">
        <f t="shared" si="37"/>
        <v>24.095354356779254</v>
      </c>
      <c r="F87" s="43">
        <f t="shared" si="37"/>
        <v>29.89074690995065</v>
      </c>
      <c r="G87" s="43">
        <f t="shared" si="37"/>
        <v>36.306335392267862</v>
      </c>
      <c r="H87" s="43">
        <f t="shared" si="37"/>
        <v>43.245488543265061</v>
      </c>
      <c r="I87" s="43">
        <f t="shared" si="37"/>
        <v>50.639501263142897</v>
      </c>
      <c r="J87" s="43">
        <f t="shared" si="37"/>
        <v>58.47265058962882</v>
      </c>
      <c r="K87" s="43">
        <f t="shared" si="37"/>
        <v>66.770320694234385</v>
      </c>
      <c r="L87" s="43">
        <f t="shared" si="37"/>
        <v>75.559361380816</v>
      </c>
      <c r="M87" s="43">
        <f t="shared" si="37"/>
        <v>84.868172704089062</v>
      </c>
      <c r="N87" s="43">
        <f t="shared" ref="N87:N99" si="38">MAX(N21-N70,0)</f>
        <v>94.726794473594751</v>
      </c>
      <c r="O87" s="44"/>
    </row>
    <row r="88" spans="1:15" ht="15.75">
      <c r="A88" s="41">
        <f t="shared" ref="A88:A99" si="39">1+A87</f>
        <v>1</v>
      </c>
      <c r="B88" s="43"/>
      <c r="C88" s="43">
        <f t="shared" ref="C88:M88" si="40">(1/(1+$D$4))*(($D$11*D88+(1-$D$11)*D89))</f>
        <v>7.4519889036310571</v>
      </c>
      <c r="D88" s="43">
        <f t="shared" si="40"/>
        <v>10.269914118683865</v>
      </c>
      <c r="E88" s="43">
        <f t="shared" si="40"/>
        <v>13.844732902514975</v>
      </c>
      <c r="F88" s="43">
        <f t="shared" si="40"/>
        <v>18.22849378685121</v>
      </c>
      <c r="G88" s="43">
        <f t="shared" si="40"/>
        <v>23.412395488251743</v>
      </c>
      <c r="H88" s="43">
        <f t="shared" si="40"/>
        <v>29.319511316836508</v>
      </c>
      <c r="I88" s="43">
        <f t="shared" si="40"/>
        <v>35.823857974101216</v>
      </c>
      <c r="J88" s="43">
        <f t="shared" si="40"/>
        <v>42.801625736472559</v>
      </c>
      <c r="K88" s="43">
        <f t="shared" si="40"/>
        <v>50.194528799333426</v>
      </c>
      <c r="L88" s="43">
        <f t="shared" si="40"/>
        <v>58.026565694659823</v>
      </c>
      <c r="M88" s="43">
        <f t="shared" si="40"/>
        <v>66.323120587027972</v>
      </c>
      <c r="N88" s="43">
        <f t="shared" si="38"/>
        <v>75.111043273341565</v>
      </c>
      <c r="O88" s="44"/>
    </row>
    <row r="89" spans="1:15" ht="15.75">
      <c r="A89" s="41">
        <f t="shared" si="39"/>
        <v>2</v>
      </c>
      <c r="B89" s="43"/>
      <c r="C89" s="43"/>
      <c r="D89" s="43">
        <f t="shared" ref="D89:M89" si="41">(1/(1+$D$4))*(($D$11*E89+(1-$D$11)*E90))</f>
        <v>4.577636503200913</v>
      </c>
      <c r="E89" s="43">
        <f t="shared" si="41"/>
        <v>6.627661752556361</v>
      </c>
      <c r="F89" s="43">
        <f t="shared" si="41"/>
        <v>9.3846378701576114</v>
      </c>
      <c r="G89" s="43">
        <f t="shared" si="41"/>
        <v>12.963764328971649</v>
      </c>
      <c r="H89" s="43">
        <f t="shared" si="41"/>
        <v>17.426600537984193</v>
      </c>
      <c r="I89" s="43">
        <f t="shared" si="41"/>
        <v>22.746527178139729</v>
      </c>
      <c r="J89" s="43">
        <f t="shared" si="41"/>
        <v>28.794674173000537</v>
      </c>
      <c r="K89" s="43">
        <f t="shared" si="41"/>
        <v>35.378885510291731</v>
      </c>
      <c r="L89" s="43">
        <f t="shared" si="41"/>
        <v>42.355540841503554</v>
      </c>
      <c r="M89" s="43">
        <f t="shared" si="41"/>
        <v>49.747328692127006</v>
      </c>
      <c r="N89" s="43">
        <f t="shared" si="38"/>
        <v>57.578247587185373</v>
      </c>
      <c r="O89" s="44"/>
    </row>
    <row r="90" spans="1:15" ht="15.75">
      <c r="A90" s="41">
        <f t="shared" si="39"/>
        <v>3</v>
      </c>
      <c r="B90" s="43"/>
      <c r="C90" s="43"/>
      <c r="D90" s="43"/>
      <c r="E90" s="43">
        <f t="shared" ref="E90:M90" si="42">(1/(1+$D$4))*(($D$11*F90+(1-$D$11)*F91))</f>
        <v>2.4822719715190793</v>
      </c>
      <c r="F90" s="43">
        <f t="shared" si="42"/>
        <v>3.8121076934257441</v>
      </c>
      <c r="G90" s="43">
        <f t="shared" si="42"/>
        <v>5.7334332067367422</v>
      </c>
      <c r="H90" s="43">
        <f t="shared" si="42"/>
        <v>8.4174689162677492</v>
      </c>
      <c r="I90" s="43">
        <f t="shared" si="42"/>
        <v>12.017217082430362</v>
      </c>
      <c r="J90" s="43">
        <f t="shared" si="42"/>
        <v>16.611595959626673</v>
      </c>
      <c r="K90" s="43">
        <f t="shared" si="42"/>
        <v>22.136484335138867</v>
      </c>
      <c r="L90" s="43">
        <f t="shared" si="42"/>
        <v>28.348589278031533</v>
      </c>
      <c r="M90" s="43">
        <f t="shared" si="42"/>
        <v>34.931685403085311</v>
      </c>
      <c r="N90" s="43">
        <f t="shared" si="38"/>
        <v>41.907222734029133</v>
      </c>
      <c r="O90" s="44"/>
    </row>
    <row r="91" spans="1:15" ht="15.75">
      <c r="A91" s="41">
        <f t="shared" si="39"/>
        <v>4</v>
      </c>
      <c r="B91" s="43"/>
      <c r="C91" s="43"/>
      <c r="D91" s="43"/>
      <c r="E91" s="43"/>
      <c r="F91" s="43">
        <f t="shared" ref="F91:M91" si="43">(1/(1+$D$4))*(($D$11*G91+(1-$D$11)*G92))</f>
        <v>1.1205482094708177</v>
      </c>
      <c r="G91" s="43">
        <f t="shared" si="43"/>
        <v>1.8458585390543478</v>
      </c>
      <c r="H91" s="43">
        <f t="shared" si="43"/>
        <v>2.9887147704216179</v>
      </c>
      <c r="I91" s="43">
        <f t="shared" si="43"/>
        <v>4.7400356077942565</v>
      </c>
      <c r="J91" s="43">
        <f t="shared" si="43"/>
        <v>7.3301645825327544</v>
      </c>
      <c r="K91" s="43">
        <f t="shared" si="43"/>
        <v>10.98624787161271</v>
      </c>
      <c r="L91" s="43">
        <f t="shared" si="43"/>
        <v>15.829006548766932</v>
      </c>
      <c r="M91" s="43">
        <f t="shared" si="43"/>
        <v>21.689284227932433</v>
      </c>
      <c r="N91" s="43">
        <f t="shared" si="38"/>
        <v>27.900271170557076</v>
      </c>
      <c r="O91" s="44"/>
    </row>
    <row r="92" spans="1:15" ht="15.75">
      <c r="A92" s="41">
        <f t="shared" si="39"/>
        <v>5</v>
      </c>
      <c r="B92" s="43"/>
      <c r="C92" s="43"/>
      <c r="D92" s="43"/>
      <c r="E92" s="43"/>
      <c r="F92" s="43"/>
      <c r="G92" s="43">
        <f t="shared" ref="G92:M92" si="44">(1/(1+$D$4))*(($D$11*H92+(1-$D$11)*H93))</f>
        <v>0.37665960934883197</v>
      </c>
      <c r="H92" s="43">
        <f t="shared" si="44"/>
        <v>0.67413680223531325</v>
      </c>
      <c r="I92" s="43">
        <f t="shared" si="44"/>
        <v>1.1939741695832746</v>
      </c>
      <c r="J92" s="43">
        <f t="shared" si="44"/>
        <v>2.0873166816433995</v>
      </c>
      <c r="K92" s="43">
        <f t="shared" si="44"/>
        <v>3.5889832241445978</v>
      </c>
      <c r="L92" s="43">
        <f t="shared" si="44"/>
        <v>6.037261660971172</v>
      </c>
      <c r="M92" s="43">
        <f t="shared" si="44"/>
        <v>9.8530658834076998</v>
      </c>
      <c r="N92" s="43">
        <f t="shared" si="38"/>
        <v>15.380688441292492</v>
      </c>
      <c r="O92" s="44"/>
    </row>
    <row r="93" spans="1:15" ht="15.75">
      <c r="A93" s="41">
        <f t="shared" si="39"/>
        <v>6</v>
      </c>
      <c r="B93" s="43"/>
      <c r="C93" s="43"/>
      <c r="D93" s="43"/>
      <c r="E93" s="43"/>
      <c r="F93" s="43"/>
      <c r="G93" s="43"/>
      <c r="H93" s="43">
        <f t="shared" ref="H93:M93" si="45">(1/(1+$D$4))*(($D$11*I93+(1-$D$11)*I94))</f>
        <v>7.1141229377327628E-2</v>
      </c>
      <c r="I93" s="43">
        <f t="shared" si="45"/>
        <v>0.1403285482911297</v>
      </c>
      <c r="J93" s="43">
        <f t="shared" si="45"/>
        <v>0.27680294026197561</v>
      </c>
      <c r="K93" s="43">
        <f t="shared" si="45"/>
        <v>0.54600342318597228</v>
      </c>
      <c r="L93" s="43">
        <f t="shared" si="45"/>
        <v>1.0770107349605802</v>
      </c>
      <c r="M93" s="43">
        <f t="shared" si="45"/>
        <v>2.1244411187972387</v>
      </c>
      <c r="N93" s="43">
        <f t="shared" si="38"/>
        <v>4.1905339665919428</v>
      </c>
      <c r="O93" s="44"/>
    </row>
    <row r="94" spans="1:15" ht="15.75">
      <c r="A94" s="41">
        <f t="shared" si="39"/>
        <v>7</v>
      </c>
      <c r="B94" s="43"/>
      <c r="C94" s="43"/>
      <c r="D94" s="43"/>
      <c r="E94" s="43"/>
      <c r="F94" s="43"/>
      <c r="G94" s="43"/>
      <c r="H94" s="43"/>
      <c r="I94" s="43">
        <f>(1/(1+$D$4))*(($D$11*J94+(1-$D$11)*J95))</f>
        <v>0</v>
      </c>
      <c r="J94" s="43">
        <f>(1/(1+$D$4))*(($D$11*K94+(1-$D$11)*K95))</f>
        <v>0</v>
      </c>
      <c r="K94" s="43">
        <f>(1/(1+$D$4))*(($D$11*L94+(1-$D$11)*L95))</f>
        <v>0</v>
      </c>
      <c r="L94" s="43">
        <f>(1/(1+$D$4))*(($D$11*M94+(1-$D$11)*M95))</f>
        <v>0</v>
      </c>
      <c r="M94" s="43">
        <f>(1/(1+$D$4))*(($D$11*N94+(1-$D$11)*N95))</f>
        <v>0</v>
      </c>
      <c r="N94" s="43">
        <f t="shared" si="38"/>
        <v>0</v>
      </c>
      <c r="O94" s="44"/>
    </row>
    <row r="95" spans="1:15" ht="15.75">
      <c r="A95" s="41">
        <f t="shared" si="39"/>
        <v>8</v>
      </c>
      <c r="B95" s="43"/>
      <c r="C95" s="43"/>
      <c r="D95" s="43"/>
      <c r="E95" s="43"/>
      <c r="F95" s="43"/>
      <c r="G95" s="43"/>
      <c r="H95" s="43"/>
      <c r="I95" s="43"/>
      <c r="J95" s="43">
        <f>(1/(1+$D$4))*(($D$11*K95+(1-$D$11)*K96))</f>
        <v>0</v>
      </c>
      <c r="K95" s="43">
        <f>(1/(1+$D$4))*(($D$11*L95+(1-$D$11)*L96))</f>
        <v>0</v>
      </c>
      <c r="L95" s="43">
        <f>(1/(1+$D$4))*(($D$11*M95+(1-$D$11)*M96))</f>
        <v>0</v>
      </c>
      <c r="M95" s="43">
        <f>(1/(1+$D$4))*(($D$11*N95+(1-$D$11)*N96))</f>
        <v>0</v>
      </c>
      <c r="N95" s="43">
        <f t="shared" si="38"/>
        <v>0</v>
      </c>
      <c r="O95" s="44"/>
    </row>
    <row r="96" spans="1:15" ht="15.75">
      <c r="A96" s="41">
        <f t="shared" si="39"/>
        <v>9</v>
      </c>
      <c r="B96" s="43"/>
      <c r="C96" s="43"/>
      <c r="D96" s="43"/>
      <c r="E96" s="43"/>
      <c r="F96" s="43"/>
      <c r="G96" s="43"/>
      <c r="H96" s="43"/>
      <c r="I96" s="43"/>
      <c r="J96" s="43"/>
      <c r="K96" s="43">
        <f>(1/(1+$D$4))*(($D$11*L96+(1-$D$11)*L97))</f>
        <v>0</v>
      </c>
      <c r="L96" s="43">
        <f>(1/(1+$D$4))*(($D$11*M96+(1-$D$11)*M97))</f>
        <v>0</v>
      </c>
      <c r="M96" s="43">
        <f>(1/(1+$D$4))*(($D$11*N96+(1-$D$11)*N97))</f>
        <v>0</v>
      </c>
      <c r="N96" s="43">
        <f t="shared" si="38"/>
        <v>0</v>
      </c>
      <c r="O96" s="44"/>
    </row>
    <row r="97" spans="1:15" ht="15.75">
      <c r="A97" s="41">
        <f t="shared" si="39"/>
        <v>10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>
        <f>(1/(1+$D$4))*(($D$11*M97+(1-$D$11)*M98))</f>
        <v>0</v>
      </c>
      <c r="M97" s="43">
        <f>(1/(1+$D$4))*(($D$11*N97+(1-$D$11)*N98))</f>
        <v>0</v>
      </c>
      <c r="N97" s="43">
        <f t="shared" si="38"/>
        <v>0</v>
      </c>
      <c r="O97" s="44"/>
    </row>
    <row r="98" spans="1:15" ht="15.75">
      <c r="A98" s="41">
        <f t="shared" si="39"/>
        <v>11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>
        <f>(1/(1+$D$4))*(($D$11*N98+(1-$D$11)*N99))</f>
        <v>0</v>
      </c>
      <c r="N98" s="43">
        <f t="shared" si="38"/>
        <v>0</v>
      </c>
      <c r="O98" s="44"/>
    </row>
    <row r="99" spans="1:15" ht="15.75">
      <c r="A99" s="41">
        <f t="shared" si="39"/>
        <v>12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>
        <f t="shared" si="38"/>
        <v>0</v>
      </c>
      <c r="O99" s="44"/>
    </row>
    <row r="100" spans="1:15">
      <c r="O100" s="44"/>
    </row>
    <row r="101" spans="1:15" ht="15.75">
      <c r="A101" s="177" t="s">
        <v>56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9"/>
    </row>
    <row r="102" spans="1:15" ht="15.75">
      <c r="A102" s="180"/>
      <c r="B102" s="185">
        <f>B87-'Exhs.CD27-1-8'!B93</f>
        <v>-9.0594198809412774E-14</v>
      </c>
      <c r="C102" s="185">
        <f>C87-'Exhs.CD27-1-8'!C93</f>
        <v>-1.0125233984581428E-13</v>
      </c>
      <c r="D102" s="185">
        <f>D87-'Exhs.CD27-1-8'!D93</f>
        <v>-1.0658141036401503E-13</v>
      </c>
      <c r="E102" s="185">
        <f>E87-'Exhs.CD27-1-8'!E93</f>
        <v>-1.0658141036401503E-13</v>
      </c>
      <c r="F102" s="185">
        <f>F87-'Exhs.CD27-1-8'!F93</f>
        <v>-1.1013412404281553E-13</v>
      </c>
      <c r="G102" s="185">
        <f>G87-'Exhs.CD27-1-8'!G93</f>
        <v>-1.0658141036401503E-13</v>
      </c>
      <c r="H102" s="185">
        <f>H87-'Exhs.CD27-1-8'!H93</f>
        <v>-9.2370555648813024E-14</v>
      </c>
      <c r="I102" s="185">
        <f>I87-'Exhs.CD27-1-8'!I93</f>
        <v>-8.5265128291212022E-14</v>
      </c>
      <c r="J102" s="185">
        <f>J87-'Exhs.CD27-1-8'!J93</f>
        <v>-7.1054273576010019E-14</v>
      </c>
      <c r="K102" s="185">
        <f>K87-'Exhs.CD27-1-8'!K93</f>
        <v>0</v>
      </c>
      <c r="L102" s="185">
        <f>L87-'Exhs.CD27-1-8'!L93</f>
        <v>0</v>
      </c>
      <c r="M102" s="185">
        <f>M87-'Exhs.CD27-1-8'!M93</f>
        <v>0</v>
      </c>
      <c r="N102" s="188">
        <f>N87-'Exhs.CD27-1-8'!N93</f>
        <v>0</v>
      </c>
      <c r="O102" s="44"/>
    </row>
    <row r="103" spans="1:15" ht="15.75">
      <c r="A103" s="180"/>
      <c r="B103" s="185"/>
      <c r="C103" s="185">
        <f>C88-'Exhs.CD27-1-8'!C94</f>
        <v>-6.5725203057809267E-14</v>
      </c>
      <c r="D103" s="185">
        <f>D88-'Exhs.CD27-1-8'!D94</f>
        <v>-7.638334409421077E-14</v>
      </c>
      <c r="E103" s="185">
        <f>E88-'Exhs.CD27-1-8'!E94</f>
        <v>-8.5265128291212022E-14</v>
      </c>
      <c r="F103" s="185">
        <f>F88-'Exhs.CD27-1-8'!F94</f>
        <v>-8.1712414612411521E-14</v>
      </c>
      <c r="G103" s="185">
        <f>G88-'Exhs.CD27-1-8'!G94</f>
        <v>-8.5265128291212022E-14</v>
      </c>
      <c r="H103" s="185">
        <f>H88-'Exhs.CD27-1-8'!H94</f>
        <v>-7.815970093361102E-14</v>
      </c>
      <c r="I103" s="185">
        <f>I88-'Exhs.CD27-1-8'!I94</f>
        <v>-6.3948846218409017E-14</v>
      </c>
      <c r="J103" s="185">
        <f>J88-'Exhs.CD27-1-8'!J94</f>
        <v>-5.6843418860808015E-14</v>
      </c>
      <c r="K103" s="185">
        <f>K88-'Exhs.CD27-1-8'!K94</f>
        <v>0</v>
      </c>
      <c r="L103" s="185">
        <f>L88-'Exhs.CD27-1-8'!L94</f>
        <v>0</v>
      </c>
      <c r="M103" s="185">
        <f>M88-'Exhs.CD27-1-8'!M94</f>
        <v>0</v>
      </c>
      <c r="N103" s="188">
        <f>N88-'Exhs.CD27-1-8'!N94</f>
        <v>0</v>
      </c>
    </row>
    <row r="104" spans="1:15" ht="15.75">
      <c r="A104" s="181"/>
      <c r="B104" s="186"/>
      <c r="C104" s="185"/>
      <c r="D104" s="185">
        <f>D89-'Exhs.CD27-1-8'!D95</f>
        <v>-4.3520742565306136E-14</v>
      </c>
      <c r="E104" s="185">
        <f>E89-'Exhs.CD27-1-8'!E95</f>
        <v>-5.3290705182007514E-14</v>
      </c>
      <c r="F104" s="185">
        <f>F89-'Exhs.CD27-1-8'!F95</f>
        <v>-6.2172489379008766E-14</v>
      </c>
      <c r="G104" s="185">
        <f>G89-'Exhs.CD27-1-8'!G95</f>
        <v>-6.5725203057809267E-14</v>
      </c>
      <c r="H104" s="185">
        <f>H89-'Exhs.CD27-1-8'!H95</f>
        <v>-6.7501559897209518E-14</v>
      </c>
      <c r="I104" s="185">
        <f>I89-'Exhs.CD27-1-8'!I95</f>
        <v>-6.3948846218409017E-14</v>
      </c>
      <c r="J104" s="185">
        <f>J89-'Exhs.CD27-1-8'!J95</f>
        <v>-4.9737991503207013E-14</v>
      </c>
      <c r="K104" s="185">
        <f>K89-'Exhs.CD27-1-8'!K95</f>
        <v>0</v>
      </c>
      <c r="L104" s="185">
        <f>L89-'Exhs.CD27-1-8'!L95</f>
        <v>0</v>
      </c>
      <c r="M104" s="185">
        <f>M89-'Exhs.CD27-1-8'!M95</f>
        <v>0</v>
      </c>
      <c r="N104" s="188">
        <f>N89-'Exhs.CD27-1-8'!N95</f>
        <v>0</v>
      </c>
    </row>
    <row r="105" spans="1:15" ht="15.75">
      <c r="A105" s="181"/>
      <c r="B105" s="185"/>
      <c r="C105" s="185"/>
      <c r="D105" s="185"/>
      <c r="E105" s="185">
        <f>E90-'Exhs.CD27-1-8'!E96</f>
        <v>-2.5757174171303632E-14</v>
      </c>
      <c r="F105" s="185">
        <f>F90-'Exhs.CD27-1-8'!F96</f>
        <v>-3.3750779948604759E-14</v>
      </c>
      <c r="G105" s="185">
        <f>G90-'Exhs.CD27-1-8'!G96</f>
        <v>-4.0856207306205761E-14</v>
      </c>
      <c r="H105" s="185">
        <f>H90-'Exhs.CD27-1-8'!H96</f>
        <v>-4.6185277824406512E-14</v>
      </c>
      <c r="I105" s="185">
        <f>I90-'Exhs.CD27-1-8'!I96</f>
        <v>-4.9737991503207013E-14</v>
      </c>
      <c r="J105" s="185">
        <f>J90-'Exhs.CD27-1-8'!J96</f>
        <v>-4.6185277824406512E-14</v>
      </c>
      <c r="K105" s="185">
        <f>K90-'Exhs.CD27-1-8'!K96</f>
        <v>-3.907985046680551E-14</v>
      </c>
      <c r="L105" s="185">
        <f>L90-'Exhs.CD27-1-8'!L96</f>
        <v>0</v>
      </c>
      <c r="M105" s="185">
        <f>M90-'Exhs.CD27-1-8'!M96</f>
        <v>0</v>
      </c>
      <c r="N105" s="188">
        <f>N90-'Exhs.CD27-1-8'!N96</f>
        <v>0</v>
      </c>
      <c r="O105" s="44"/>
    </row>
    <row r="106" spans="1:15" ht="15.75">
      <c r="A106" s="181"/>
      <c r="B106" s="185"/>
      <c r="C106" s="185"/>
      <c r="D106" s="185"/>
      <c r="E106" s="185"/>
      <c r="F106" s="185">
        <f>F91-'Exhs.CD27-1-8'!F97</f>
        <v>-1.2656542480726785E-14</v>
      </c>
      <c r="G106" s="185">
        <f>G91-'Exhs.CD27-1-8'!G97</f>
        <v>-1.7541523789077473E-14</v>
      </c>
      <c r="H106" s="185">
        <f>H91-'Exhs.CD27-1-8'!H97</f>
        <v>-2.3092638912203256E-14</v>
      </c>
      <c r="I106" s="185">
        <f>I91-'Exhs.CD27-1-8'!I97</f>
        <v>-2.8421709430404007E-14</v>
      </c>
      <c r="J106" s="185">
        <f>J91-'Exhs.CD27-1-8'!J97</f>
        <v>-3.2862601528904634E-14</v>
      </c>
      <c r="K106" s="185">
        <f>K91-'Exhs.CD27-1-8'!K97</f>
        <v>-3.3750779948604759E-14</v>
      </c>
      <c r="L106" s="185">
        <f>L91-'Exhs.CD27-1-8'!L97</f>
        <v>-2.8421709430404007E-14</v>
      </c>
      <c r="M106" s="185">
        <f>M91-'Exhs.CD27-1-8'!M97</f>
        <v>0</v>
      </c>
      <c r="N106" s="188">
        <f>N91-'Exhs.CD27-1-8'!N97</f>
        <v>0</v>
      </c>
      <c r="O106" s="44"/>
    </row>
    <row r="107" spans="1:15" ht="15.75">
      <c r="A107" s="181"/>
      <c r="B107" s="185"/>
      <c r="C107" s="185"/>
      <c r="D107" s="185"/>
      <c r="E107" s="185"/>
      <c r="F107" s="185"/>
      <c r="G107" s="185">
        <f>G92-'Exhs.CD27-1-8'!G98</f>
        <v>-4.7184478546569153E-15</v>
      </c>
      <c r="H107" s="185">
        <f>H92-'Exhs.CD27-1-8'!H98</f>
        <v>-6.9944050551384862E-15</v>
      </c>
      <c r="I107" s="185">
        <f>I92-'Exhs.CD27-1-8'!I98</f>
        <v>-9.9920072216264089E-15</v>
      </c>
      <c r="J107" s="185">
        <f>J92-'Exhs.CD27-1-8'!J98</f>
        <v>-1.3766765505351941E-14</v>
      </c>
      <c r="K107" s="185">
        <f>K92-'Exhs.CD27-1-8'!K98</f>
        <v>-1.6875389974302379E-14</v>
      </c>
      <c r="L107" s="185">
        <f>L92-'Exhs.CD27-1-8'!L98</f>
        <v>-1.7763568394002505E-14</v>
      </c>
      <c r="M107" s="185">
        <f>M92-'Exhs.CD27-1-8'!M98</f>
        <v>-1.4210854715202004E-14</v>
      </c>
      <c r="N107" s="188">
        <f>N92-'Exhs.CD27-1-8'!N98</f>
        <v>0</v>
      </c>
      <c r="O107" s="44"/>
    </row>
    <row r="108" spans="1:15" ht="15.75">
      <c r="A108" s="181"/>
      <c r="B108" s="185"/>
      <c r="C108" s="185"/>
      <c r="D108" s="185"/>
      <c r="E108" s="185"/>
      <c r="F108" s="185"/>
      <c r="G108" s="185"/>
      <c r="H108" s="185">
        <f>H93-'Exhs.CD27-1-8'!H99</f>
        <v>-9.1593399531575415E-16</v>
      </c>
      <c r="I108" s="185">
        <f>I93-'Exhs.CD27-1-8'!I99</f>
        <v>-1.4988010832439613E-15</v>
      </c>
      <c r="J108" s="185">
        <f>J93-'Exhs.CD27-1-8'!J99</f>
        <v>-2.3314683517128287E-15</v>
      </c>
      <c r="K108" s="185">
        <f>K93-'Exhs.CD27-1-8'!K99</f>
        <v>-3.4416913763379853E-15</v>
      </c>
      <c r="L108" s="185">
        <f>L93-'Exhs.CD27-1-8'!L99</f>
        <v>-4.4408920985006262E-15</v>
      </c>
      <c r="M108" s="185">
        <f>M93-'Exhs.CD27-1-8'!M99</f>
        <v>-4.4408920985006262E-15</v>
      </c>
      <c r="N108" s="188">
        <f>N93-'Exhs.CD27-1-8'!N99</f>
        <v>0</v>
      </c>
      <c r="O108" s="44"/>
    </row>
    <row r="109" spans="1:15" ht="15.75">
      <c r="A109" s="181"/>
      <c r="B109" s="185"/>
      <c r="C109" s="185"/>
      <c r="D109" s="185"/>
      <c r="E109" s="185"/>
      <c r="F109" s="185"/>
      <c r="G109" s="185"/>
      <c r="H109" s="185"/>
      <c r="I109" s="185">
        <f>I94-'Exhs.CD27-1-8'!I100</f>
        <v>0</v>
      </c>
      <c r="J109" s="185">
        <f>J94-'Exhs.CD27-1-8'!J100</f>
        <v>0</v>
      </c>
      <c r="K109" s="185">
        <f>K94-'Exhs.CD27-1-8'!K100</f>
        <v>0</v>
      </c>
      <c r="L109" s="185">
        <f>L94-'Exhs.CD27-1-8'!L100</f>
        <v>0</v>
      </c>
      <c r="M109" s="185">
        <f>M94-'Exhs.CD27-1-8'!M100</f>
        <v>0</v>
      </c>
      <c r="N109" s="188">
        <f>N94-'Exhs.CD27-1-8'!N100</f>
        <v>0</v>
      </c>
      <c r="O109" s="44"/>
    </row>
    <row r="110" spans="1:15" ht="15.75">
      <c r="A110" s="181"/>
      <c r="B110" s="185"/>
      <c r="C110" s="185"/>
      <c r="D110" s="185"/>
      <c r="E110" s="185"/>
      <c r="F110" s="185"/>
      <c r="G110" s="185"/>
      <c r="H110" s="185"/>
      <c r="I110" s="185"/>
      <c r="J110" s="185">
        <f>J95-'Exhs.CD27-1-8'!J101</f>
        <v>0</v>
      </c>
      <c r="K110" s="185">
        <f>K95-'Exhs.CD27-1-8'!K101</f>
        <v>0</v>
      </c>
      <c r="L110" s="185">
        <f>L95-'Exhs.CD27-1-8'!L101</f>
        <v>0</v>
      </c>
      <c r="M110" s="185">
        <f>M95-'Exhs.CD27-1-8'!M101</f>
        <v>0</v>
      </c>
      <c r="N110" s="188">
        <f>N95-'Exhs.CD27-1-8'!N101</f>
        <v>0</v>
      </c>
      <c r="O110" s="44"/>
    </row>
    <row r="111" spans="1:15" ht="15.75">
      <c r="A111" s="181"/>
      <c r="B111" s="185"/>
      <c r="C111" s="185"/>
      <c r="D111" s="185"/>
      <c r="E111" s="185"/>
      <c r="F111" s="185"/>
      <c r="G111" s="185"/>
      <c r="H111" s="185"/>
      <c r="I111" s="185"/>
      <c r="J111" s="185"/>
      <c r="K111" s="185">
        <f>K96-'Exhs.CD27-1-8'!K102</f>
        <v>0</v>
      </c>
      <c r="L111" s="185">
        <f>L96-'Exhs.CD27-1-8'!L102</f>
        <v>0</v>
      </c>
      <c r="M111" s="185">
        <f>M96-'Exhs.CD27-1-8'!M102</f>
        <v>0</v>
      </c>
      <c r="N111" s="188">
        <f>N96-'Exhs.CD27-1-8'!N102</f>
        <v>0</v>
      </c>
      <c r="O111" s="44"/>
    </row>
    <row r="112" spans="1:15" ht="15.75">
      <c r="A112" s="181"/>
      <c r="B112" s="185"/>
      <c r="C112" s="185"/>
      <c r="D112" s="185"/>
      <c r="E112" s="185"/>
      <c r="F112" s="185"/>
      <c r="G112" s="185"/>
      <c r="H112" s="185"/>
      <c r="I112" s="185"/>
      <c r="J112" s="185"/>
      <c r="K112" s="185"/>
      <c r="L112" s="185">
        <f>L97-'Exhs.CD27-1-8'!L103</f>
        <v>0</v>
      </c>
      <c r="M112" s="185">
        <f>M97-'Exhs.CD27-1-8'!M103</f>
        <v>0</v>
      </c>
      <c r="N112" s="188">
        <f>N97-'Exhs.CD27-1-8'!N103</f>
        <v>0</v>
      </c>
      <c r="O112" s="44"/>
    </row>
    <row r="113" spans="1:15" ht="15.75">
      <c r="A113" s="181"/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>
        <f>M98-'Exhs.CD27-1-8'!M104</f>
        <v>0</v>
      </c>
      <c r="N113" s="188">
        <f>N98-'Exhs.CD27-1-8'!N104</f>
        <v>0</v>
      </c>
      <c r="O113" s="44"/>
    </row>
    <row r="114" spans="1:15" ht="15.75">
      <c r="A114" s="182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9">
        <f>N99-'Exhs.CD27-1-8'!N105</f>
        <v>0</v>
      </c>
      <c r="O114" s="44"/>
    </row>
    <row r="115" spans="1:15" ht="15.75">
      <c r="A115" s="41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4"/>
    </row>
    <row r="116" spans="1:15" ht="15.75">
      <c r="A116" s="41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4"/>
    </row>
    <row r="117" spans="1:15" ht="15.75">
      <c r="A117" s="41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4"/>
    </row>
    <row r="118" spans="1:15">
      <c r="O118" s="70"/>
    </row>
    <row r="119" spans="1:15" ht="15.7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5"/>
      <c r="O119" s="70"/>
    </row>
    <row r="120" spans="1:15" ht="15.7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5" ht="15.75">
      <c r="A121" s="41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5" ht="15.75">
      <c r="A122" s="41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6"/>
    </row>
    <row r="123" spans="1:15" ht="15.75">
      <c r="A123" s="41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6"/>
    </row>
    <row r="124" spans="1:15" ht="15.75">
      <c r="A124" s="41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6"/>
    </row>
    <row r="125" spans="1:15" ht="15.75">
      <c r="A125" s="41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6"/>
    </row>
    <row r="126" spans="1:15" ht="15.75">
      <c r="A126" s="41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6"/>
    </row>
    <row r="127" spans="1:15" ht="15.75">
      <c r="A127" s="41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6"/>
    </row>
    <row r="128" spans="1:15" ht="15.75">
      <c r="A128" s="41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6"/>
    </row>
    <row r="129" spans="1:15" ht="15.75">
      <c r="A129" s="41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6"/>
    </row>
    <row r="130" spans="1:15" ht="15.75">
      <c r="A130" s="41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6"/>
    </row>
    <row r="131" spans="1:15" ht="15.75">
      <c r="A131" s="41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6"/>
    </row>
    <row r="132" spans="1:15" ht="15.75">
      <c r="A132" s="41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6"/>
    </row>
    <row r="133" spans="1:15" ht="15.75">
      <c r="A133" s="41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6"/>
    </row>
    <row r="134" spans="1:15" ht="15.75">
      <c r="A134" s="41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6"/>
    </row>
    <row r="136" spans="1:15">
      <c r="O136" s="44"/>
    </row>
    <row r="137" spans="1:15">
      <c r="O137" s="44"/>
    </row>
    <row r="138" spans="1:15">
      <c r="B138" s="13"/>
      <c r="O138" s="44"/>
    </row>
    <row r="139" spans="1:15" ht="15.7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</row>
    <row r="140" spans="1:15" ht="15.7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</row>
    <row r="141" spans="1:15" ht="15.75">
      <c r="A141" s="41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1:15" ht="15.75">
      <c r="A142" s="4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2"/>
      <c r="O142" s="42"/>
    </row>
    <row r="143" spans="1:15" ht="15.75">
      <c r="A143" s="41"/>
      <c r="B143" s="34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2"/>
      <c r="O143" s="42"/>
    </row>
    <row r="144" spans="1:15" ht="15.75">
      <c r="A144" s="41"/>
      <c r="B144" s="34"/>
      <c r="C144" s="34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2"/>
      <c r="O144" s="42"/>
    </row>
    <row r="145" spans="1:15" ht="15.75">
      <c r="A145" s="41"/>
      <c r="B145" s="34"/>
      <c r="C145" s="34"/>
      <c r="D145" s="34"/>
      <c r="E145" s="71"/>
      <c r="F145" s="71"/>
      <c r="G145" s="71"/>
      <c r="H145" s="71"/>
      <c r="I145" s="71"/>
      <c r="J145" s="71"/>
      <c r="K145" s="71"/>
      <c r="L145" s="71"/>
      <c r="M145" s="71"/>
      <c r="N145" s="2"/>
      <c r="O145" s="42"/>
    </row>
    <row r="146" spans="1:15" ht="15.75">
      <c r="A146" s="41"/>
      <c r="B146" s="34"/>
      <c r="C146" s="34"/>
      <c r="D146" s="34"/>
      <c r="E146" s="34"/>
      <c r="F146" s="71"/>
      <c r="G146" s="71"/>
      <c r="H146" s="71"/>
      <c r="I146" s="71"/>
      <c r="J146" s="71"/>
      <c r="K146" s="71"/>
      <c r="L146" s="71"/>
      <c r="M146" s="71"/>
      <c r="N146" s="2"/>
      <c r="O146" s="42"/>
    </row>
    <row r="147" spans="1:15" ht="15.75">
      <c r="A147" s="41"/>
      <c r="B147" s="34"/>
      <c r="C147" s="34"/>
      <c r="D147" s="34"/>
      <c r="E147" s="34"/>
      <c r="F147" s="34"/>
      <c r="G147" s="71"/>
      <c r="H147" s="71"/>
      <c r="I147" s="71"/>
      <c r="J147" s="71"/>
      <c r="K147" s="71"/>
      <c r="L147" s="71"/>
      <c r="M147" s="71"/>
      <c r="N147" s="2"/>
      <c r="O147" s="42"/>
    </row>
    <row r="148" spans="1:15" ht="15.75">
      <c r="A148" s="41"/>
      <c r="B148" s="34"/>
      <c r="C148" s="34"/>
      <c r="D148" s="34"/>
      <c r="E148" s="34"/>
      <c r="F148" s="34"/>
      <c r="G148" s="34"/>
      <c r="H148" s="71"/>
      <c r="I148" s="71"/>
      <c r="J148" s="71"/>
      <c r="K148" s="71"/>
      <c r="L148" s="71"/>
      <c r="M148" s="71"/>
      <c r="N148" s="2"/>
      <c r="O148" s="42"/>
    </row>
    <row r="149" spans="1:15" ht="15.75">
      <c r="A149" s="41"/>
      <c r="B149" s="34"/>
      <c r="C149" s="34"/>
      <c r="D149" s="34"/>
      <c r="E149" s="34"/>
      <c r="F149" s="34"/>
      <c r="G149" s="34"/>
      <c r="H149" s="34"/>
      <c r="I149" s="71"/>
      <c r="J149" s="71"/>
      <c r="K149" s="71"/>
      <c r="L149" s="71"/>
      <c r="M149" s="71"/>
      <c r="N149" s="2"/>
      <c r="O149" s="42"/>
    </row>
    <row r="150" spans="1:15" ht="15.75">
      <c r="A150" s="41"/>
      <c r="B150" s="34"/>
      <c r="C150" s="34"/>
      <c r="D150" s="34"/>
      <c r="E150" s="34"/>
      <c r="F150" s="34"/>
      <c r="G150" s="34"/>
      <c r="H150" s="34"/>
      <c r="I150" s="34"/>
      <c r="J150" s="72"/>
      <c r="K150" s="72"/>
      <c r="L150" s="72"/>
      <c r="M150" s="72"/>
      <c r="N150" s="2"/>
      <c r="O150" s="42"/>
    </row>
    <row r="151" spans="1:15" ht="15.75">
      <c r="A151" s="41"/>
      <c r="B151" s="34"/>
      <c r="C151" s="34"/>
      <c r="D151" s="34"/>
      <c r="E151" s="34"/>
      <c r="F151" s="34"/>
      <c r="G151" s="34"/>
      <c r="H151" s="34"/>
      <c r="I151" s="34"/>
      <c r="J151" s="35"/>
      <c r="K151" s="72"/>
      <c r="L151" s="72"/>
      <c r="M151" s="72"/>
      <c r="N151" s="2"/>
      <c r="O151" s="42"/>
    </row>
    <row r="152" spans="1:15" ht="15.75">
      <c r="A152" s="41"/>
      <c r="B152" s="34"/>
      <c r="C152" s="34"/>
      <c r="D152" s="34"/>
      <c r="E152" s="34"/>
      <c r="F152" s="34"/>
      <c r="G152" s="34"/>
      <c r="H152" s="34"/>
      <c r="I152" s="34"/>
      <c r="J152" s="35"/>
      <c r="K152" s="35"/>
      <c r="L152" s="72"/>
      <c r="M152" s="72"/>
      <c r="N152" s="2"/>
      <c r="O152" s="42"/>
    </row>
    <row r="153" spans="1:15" ht="15.75">
      <c r="A153" s="41"/>
      <c r="B153" s="34"/>
      <c r="C153" s="34"/>
      <c r="D153" s="34"/>
      <c r="E153" s="34"/>
      <c r="F153" s="34"/>
      <c r="G153" s="34"/>
      <c r="H153" s="34"/>
      <c r="I153" s="34"/>
      <c r="J153" s="35"/>
      <c r="K153" s="35"/>
      <c r="L153" s="35"/>
      <c r="M153" s="72"/>
      <c r="N153" s="2"/>
      <c r="O153" s="42"/>
    </row>
    <row r="154" spans="1:15" ht="15.75">
      <c r="A154" s="41"/>
      <c r="N154" s="2"/>
      <c r="O154" s="42"/>
    </row>
    <row r="156" spans="1:15" ht="15.7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</row>
    <row r="157" spans="1:15" ht="15.7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1:15" ht="15.75">
      <c r="A158" s="41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5" ht="15.75">
      <c r="A159" s="41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</row>
    <row r="160" spans="1:15" ht="15.75">
      <c r="A160" s="41"/>
      <c r="B160" s="74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</row>
    <row r="161" spans="1:13" ht="15.75">
      <c r="A161" s="41"/>
      <c r="B161" s="74"/>
      <c r="C161" s="74"/>
      <c r="D161" s="73"/>
      <c r="E161" s="73"/>
      <c r="F161" s="73"/>
      <c r="G161" s="73"/>
      <c r="H161" s="73"/>
      <c r="I161" s="73"/>
      <c r="J161" s="73"/>
      <c r="K161" s="73"/>
      <c r="L161" s="73"/>
      <c r="M161" s="73"/>
    </row>
    <row r="162" spans="1:13" ht="15.75">
      <c r="A162" s="41"/>
      <c r="B162" s="74"/>
      <c r="C162" s="74"/>
      <c r="D162" s="74"/>
      <c r="E162" s="73"/>
      <c r="F162" s="73"/>
      <c r="G162" s="73"/>
      <c r="H162" s="73"/>
      <c r="I162" s="73"/>
      <c r="J162" s="73"/>
      <c r="K162" s="73"/>
      <c r="L162" s="73"/>
      <c r="M162" s="73"/>
    </row>
    <row r="163" spans="1:13" ht="15.75">
      <c r="A163" s="41"/>
      <c r="B163" s="74"/>
      <c r="C163" s="74"/>
      <c r="D163" s="74"/>
      <c r="E163" s="74"/>
      <c r="F163" s="73"/>
      <c r="G163" s="73"/>
      <c r="H163" s="73"/>
      <c r="I163" s="73"/>
      <c r="J163" s="73"/>
      <c r="K163" s="73"/>
      <c r="L163" s="73"/>
      <c r="M163" s="73"/>
    </row>
    <row r="164" spans="1:13" ht="15.75">
      <c r="A164" s="41"/>
      <c r="B164" s="74"/>
      <c r="C164" s="74"/>
      <c r="D164" s="74"/>
      <c r="E164" s="74"/>
      <c r="F164" s="74"/>
      <c r="G164" s="73"/>
      <c r="H164" s="73"/>
      <c r="I164" s="73"/>
      <c r="J164" s="73"/>
      <c r="K164" s="73"/>
      <c r="L164" s="73"/>
      <c r="M164" s="73"/>
    </row>
    <row r="165" spans="1:13" ht="15.75">
      <c r="A165" s="41"/>
      <c r="B165" s="74"/>
      <c r="C165" s="74"/>
      <c r="D165" s="74"/>
      <c r="E165" s="74"/>
      <c r="F165" s="74"/>
      <c r="G165" s="74"/>
      <c r="H165" s="73"/>
      <c r="I165" s="73"/>
      <c r="J165" s="73"/>
      <c r="K165" s="73"/>
      <c r="L165" s="73"/>
      <c r="M165" s="73"/>
    </row>
    <row r="166" spans="1:13" ht="15.75">
      <c r="A166" s="41"/>
      <c r="B166" s="74"/>
      <c r="C166" s="74"/>
      <c r="D166" s="74"/>
      <c r="E166" s="74"/>
      <c r="F166" s="74"/>
      <c r="G166" s="74"/>
      <c r="H166" s="74"/>
      <c r="I166" s="73"/>
      <c r="J166" s="73"/>
      <c r="K166" s="73"/>
      <c r="L166" s="73"/>
      <c r="M166" s="73"/>
    </row>
    <row r="167" spans="1:13" ht="15.75">
      <c r="A167" s="41"/>
      <c r="B167" s="74"/>
      <c r="C167" s="74"/>
      <c r="D167" s="74"/>
      <c r="E167" s="74"/>
      <c r="F167" s="74"/>
      <c r="G167" s="74"/>
      <c r="H167" s="74"/>
      <c r="I167" s="74"/>
      <c r="J167" s="73"/>
      <c r="K167" s="73"/>
      <c r="L167" s="73"/>
      <c r="M167" s="73"/>
    </row>
    <row r="168" spans="1:13" ht="15.75">
      <c r="A168" s="41"/>
      <c r="B168" s="74"/>
      <c r="C168" s="74"/>
      <c r="D168" s="74"/>
      <c r="E168" s="74"/>
      <c r="F168" s="74"/>
      <c r="G168" s="74"/>
      <c r="H168" s="74"/>
      <c r="I168" s="74"/>
      <c r="J168" s="74"/>
      <c r="K168" s="73"/>
      <c r="L168" s="73"/>
      <c r="M168" s="73"/>
    </row>
    <row r="169" spans="1:13" ht="15.75">
      <c r="A169" s="41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3"/>
      <c r="M169" s="73"/>
    </row>
    <row r="170" spans="1:13" ht="15.75">
      <c r="A170" s="41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3"/>
    </row>
    <row r="171" spans="1:13" ht="15.75">
      <c r="A171" s="41"/>
    </row>
    <row r="178" spans="1:14" ht="15.75">
      <c r="A178" s="41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</row>
    <row r="179" spans="1:14" ht="15.75">
      <c r="A179" s="41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</row>
    <row r="180" spans="1:14" ht="15.75">
      <c r="A180" s="41"/>
    </row>
    <row r="181" spans="1:14" ht="15.75">
      <c r="A181" s="4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>
      <c r="A182" s="4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>
      <c r="A183" s="4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>
      <c r="A184" s="41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>
      <c r="A185" s="41"/>
      <c r="F185" s="2"/>
      <c r="G185" s="2"/>
      <c r="H185" s="2"/>
      <c r="I185" s="2"/>
      <c r="J185" s="2"/>
      <c r="K185" s="2"/>
      <c r="L185" s="2"/>
      <c r="M185" s="2"/>
      <c r="N185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5"/>
  <sheetViews>
    <sheetView workbookViewId="0"/>
  </sheetViews>
  <sheetFormatPr defaultRowHeight="15"/>
  <cols>
    <col min="1" max="1" width="62.33203125" customWidth="1"/>
    <col min="2" max="2" width="17.109375" customWidth="1"/>
    <col min="3" max="3" width="4.6640625" customWidth="1"/>
    <col min="4" max="4" width="6.88671875" customWidth="1"/>
    <col min="6" max="6" width="9" style="196" bestFit="1" customWidth="1"/>
    <col min="7" max="7" width="8.88671875" style="69"/>
  </cols>
  <sheetData>
    <row r="1" spans="1:8" ht="15.75">
      <c r="A1" s="194" t="s">
        <v>70</v>
      </c>
      <c r="C1" s="195"/>
      <c r="D1" s="13"/>
    </row>
    <row r="2" spans="1:8" ht="16.5" thickBot="1">
      <c r="A2" s="197" t="s">
        <v>162</v>
      </c>
      <c r="C2" s="195"/>
      <c r="D2" t="s">
        <v>184</v>
      </c>
      <c r="E2" s="2">
        <v>0.2</v>
      </c>
    </row>
    <row r="3" spans="1:8">
      <c r="A3" s="235" t="s">
        <v>62</v>
      </c>
      <c r="B3" s="63" t="s">
        <v>148</v>
      </c>
      <c r="D3" t="s">
        <v>185</v>
      </c>
      <c r="E3" s="2">
        <v>0.1</v>
      </c>
    </row>
    <row r="4" spans="1:8">
      <c r="A4" s="236" t="s">
        <v>67</v>
      </c>
      <c r="B4" s="237">
        <v>0.2</v>
      </c>
      <c r="C4" s="199"/>
      <c r="D4" t="s">
        <v>186</v>
      </c>
      <c r="E4" s="2">
        <v>0.4</v>
      </c>
      <c r="G4" s="198"/>
    </row>
    <row r="5" spans="1:8">
      <c r="A5" s="236" t="s">
        <v>68</v>
      </c>
      <c r="B5" s="237">
        <v>0.06</v>
      </c>
      <c r="C5" s="199"/>
      <c r="D5" t="s">
        <v>187</v>
      </c>
      <c r="E5" s="2">
        <f>SQRT(E2^2+E3^2-2*E4*E2*E3)</f>
        <v>0.18439088914585774</v>
      </c>
      <c r="G5" s="198"/>
    </row>
    <row r="6" spans="1:8">
      <c r="A6" s="236" t="s">
        <v>72</v>
      </c>
      <c r="B6" s="326">
        <v>0.03</v>
      </c>
      <c r="C6" s="199"/>
      <c r="G6" s="198"/>
    </row>
    <row r="7" spans="1:8">
      <c r="A7" s="236" t="s">
        <v>69</v>
      </c>
      <c r="B7" s="326">
        <v>0.01</v>
      </c>
      <c r="C7" s="199"/>
      <c r="D7" s="322"/>
      <c r="G7" s="198"/>
    </row>
    <row r="8" spans="1:8">
      <c r="A8" s="236" t="s">
        <v>63</v>
      </c>
      <c r="B8" s="238">
        <v>100</v>
      </c>
      <c r="C8" s="201"/>
      <c r="G8" s="200"/>
    </row>
    <row r="9" spans="1:8">
      <c r="A9" s="236" t="s">
        <v>64</v>
      </c>
      <c r="B9" s="238">
        <f>90/1.02</f>
        <v>88.235294117647058</v>
      </c>
      <c r="C9" s="202"/>
      <c r="G9" s="200"/>
    </row>
    <row r="10" spans="1:8">
      <c r="A10" s="236" t="s">
        <v>71</v>
      </c>
      <c r="B10" s="239">
        <v>0.09</v>
      </c>
      <c r="C10" s="204"/>
      <c r="G10" s="203"/>
    </row>
    <row r="11" spans="1:8" ht="15.75" thickBot="1">
      <c r="A11" s="240" t="s">
        <v>80</v>
      </c>
      <c r="B11" s="241">
        <v>1.5</v>
      </c>
      <c r="C11" s="206"/>
      <c r="G11" s="205"/>
    </row>
    <row r="12" spans="1:8" ht="15.75" thickBot="1">
      <c r="A12" s="74"/>
      <c r="B12" s="203"/>
      <c r="C12" s="204"/>
      <c r="G12" s="203"/>
      <c r="H12" s="207"/>
    </row>
    <row r="13" spans="1:8">
      <c r="A13" s="225" t="s">
        <v>65</v>
      </c>
      <c r="B13" s="226"/>
      <c r="C13" s="74"/>
      <c r="F13" s="208"/>
      <c r="G13" s="75"/>
      <c r="H13" s="207"/>
    </row>
    <row r="14" spans="1:8">
      <c r="A14" s="22" t="s">
        <v>165</v>
      </c>
      <c r="B14" s="227">
        <f>(B5-B7+B4^2/2+((B7-B5-B4^2/2)^2+2*B7*B4^2)^0.5)/B4^2</f>
        <v>3.6374586088176875</v>
      </c>
      <c r="C14" s="74"/>
      <c r="G14" s="209"/>
      <c r="H14" s="207"/>
    </row>
    <row r="15" spans="1:8">
      <c r="A15" s="228" t="s">
        <v>88</v>
      </c>
      <c r="B15" s="298">
        <f>B14/(B14-1)</f>
        <v>1.3791528696058959</v>
      </c>
      <c r="C15" s="74"/>
      <c r="G15" s="210"/>
      <c r="H15" s="207"/>
    </row>
    <row r="16" spans="1:8">
      <c r="A16" s="22" t="s">
        <v>90</v>
      </c>
      <c r="B16" s="21">
        <f>B15*(EXP(B5*B11))/(EXP(B7*B11))</f>
        <v>1.4865670197952541</v>
      </c>
      <c r="C16" s="212"/>
      <c r="G16" s="211"/>
      <c r="H16" s="207"/>
    </row>
    <row r="17" spans="1:8" ht="15.75" thickBot="1">
      <c r="A17" s="22" t="s">
        <v>188</v>
      </c>
      <c r="B17" s="230">
        <f>B15*B9/EXP(B7*B11)</f>
        <v>119.87823162234652</v>
      </c>
      <c r="C17" s="212"/>
      <c r="E17" s="213"/>
      <c r="F17" s="208"/>
      <c r="G17" s="208"/>
      <c r="H17" s="207"/>
    </row>
    <row r="18" spans="1:8" ht="16.5" thickBot="1">
      <c r="A18" s="242" t="s">
        <v>146</v>
      </c>
      <c r="B18" s="243">
        <f>IF(B8&lt;=B19,(B17-B9/EXP(B7*B11))*((B8/EXP(B5*B11))/(B17))^B14,B8/EXP(B5*B11)-B9/EXP(B7*B11))</f>
        <v>12.28434616714811</v>
      </c>
      <c r="C18" s="212"/>
      <c r="E18" s="213"/>
      <c r="F18" s="208"/>
      <c r="G18" s="208"/>
      <c r="H18" s="207"/>
    </row>
    <row r="19" spans="1:8">
      <c r="A19" s="228" t="s">
        <v>87</v>
      </c>
      <c r="B19" s="231">
        <f>EXP((B5-B7)*B11)*B15*B9</f>
        <v>131.16767821722829</v>
      </c>
      <c r="C19" s="215"/>
      <c r="E19" s="213"/>
      <c r="F19" s="208"/>
      <c r="G19" s="214"/>
      <c r="H19" s="207"/>
    </row>
    <row r="20" spans="1:8">
      <c r="A20" s="22" t="s">
        <v>66</v>
      </c>
      <c r="B20" s="80" t="str">
        <f>IF(B8&lt;B19,"No","Yes")</f>
        <v>No</v>
      </c>
      <c r="C20" s="216"/>
      <c r="D20" s="322" t="s">
        <v>182</v>
      </c>
      <c r="E20" s="322">
        <f>(B6-B5)/B4-B4/2</f>
        <v>-0.25</v>
      </c>
      <c r="G20" s="74"/>
      <c r="H20" s="207"/>
    </row>
    <row r="21" spans="1:8">
      <c r="A21" s="228" t="s">
        <v>73</v>
      </c>
      <c r="B21" s="232">
        <f>(B10-B6)*B14+B6</f>
        <v>0.24824751652906124</v>
      </c>
      <c r="C21" s="216"/>
      <c r="D21" s="322" t="s">
        <v>183</v>
      </c>
      <c r="E21" s="322">
        <f>(SQRT(E20^2+2*B6)-E20)/B4</f>
        <v>2.9999999999999996</v>
      </c>
      <c r="G21" s="217"/>
      <c r="H21" s="207"/>
    </row>
    <row r="22" spans="1:8" ht="15.75" thickBot="1">
      <c r="A22" s="233" t="s">
        <v>147</v>
      </c>
      <c r="B22" s="234">
        <f>1/B14</f>
        <v>0.27491721763537486</v>
      </c>
      <c r="C22" s="199"/>
      <c r="G22" s="198"/>
      <c r="H22" s="207"/>
    </row>
    <row r="23" spans="1:8" ht="15.75" thickBot="1">
      <c r="A23" s="323" t="s">
        <v>179</v>
      </c>
      <c r="B23" s="324">
        <f>LN(B31/B18)/B21</f>
        <v>3.9753286114721158</v>
      </c>
      <c r="C23" s="325" t="s">
        <v>180</v>
      </c>
      <c r="D23" s="322" t="s">
        <v>181</v>
      </c>
      <c r="G23" s="198"/>
      <c r="H23" s="207"/>
    </row>
    <row r="24" spans="1:8" ht="15.75" thickBot="1">
      <c r="C24" s="199"/>
      <c r="G24" s="198"/>
      <c r="H24" s="207"/>
    </row>
    <row r="25" spans="1:8">
      <c r="A25" s="244" t="s">
        <v>176</v>
      </c>
      <c r="B25" s="245"/>
      <c r="C25" s="246"/>
      <c r="D25" s="247"/>
      <c r="E25" s="247"/>
      <c r="F25" s="248"/>
      <c r="G25" s="245"/>
      <c r="H25" s="249"/>
    </row>
    <row r="26" spans="1:8">
      <c r="A26" s="250" t="s">
        <v>151</v>
      </c>
      <c r="B26" s="251">
        <f>B19</f>
        <v>131.16767821722829</v>
      </c>
      <c r="C26" s="252"/>
      <c r="D26" s="253"/>
      <c r="E26" s="253"/>
      <c r="F26" s="254"/>
      <c r="G26" s="255"/>
      <c r="H26" s="256"/>
    </row>
    <row r="27" spans="1:8">
      <c r="A27" s="250" t="s">
        <v>152</v>
      </c>
      <c r="B27" s="251">
        <f>B9</f>
        <v>88.235294117647058</v>
      </c>
      <c r="C27" s="252"/>
      <c r="D27" s="253"/>
      <c r="E27" s="253"/>
      <c r="F27" s="254"/>
      <c r="G27" s="255"/>
      <c r="H27" s="256"/>
    </row>
    <row r="28" spans="1:8">
      <c r="A28" s="250" t="s">
        <v>161</v>
      </c>
      <c r="B28" s="251">
        <f>B26*EXP((B10-B5)*B11)</f>
        <v>137.20504573476254</v>
      </c>
      <c r="C28" s="252"/>
      <c r="D28" s="253"/>
      <c r="E28" s="253"/>
      <c r="F28" s="254"/>
      <c r="G28" s="255"/>
      <c r="H28" s="256"/>
    </row>
    <row r="29" spans="1:8">
      <c r="A29" s="250" t="s">
        <v>149</v>
      </c>
      <c r="B29" s="251">
        <f>B9*EXP((B6-B7)*B11)</f>
        <v>90.92245887825149</v>
      </c>
      <c r="C29" s="252"/>
      <c r="D29" s="253"/>
      <c r="E29" s="253"/>
      <c r="F29" s="254"/>
      <c r="G29" s="255"/>
      <c r="H29" s="256"/>
    </row>
    <row r="30" spans="1:8">
      <c r="A30" s="250" t="s">
        <v>150</v>
      </c>
      <c r="B30" s="257">
        <f>B28-B29</f>
        <v>46.282586856511045</v>
      </c>
      <c r="C30" s="252"/>
      <c r="D30" s="253"/>
      <c r="E30" s="253"/>
      <c r="F30" s="254"/>
      <c r="G30" s="255"/>
      <c r="H30" s="256"/>
    </row>
    <row r="31" spans="1:8">
      <c r="A31" s="250" t="s">
        <v>153</v>
      </c>
      <c r="B31" s="251">
        <f>B28/EXP(B10*B11)-B29/EXP(B6*B11)</f>
        <v>32.956589892664496</v>
      </c>
      <c r="C31" s="252"/>
      <c r="D31" s="253"/>
      <c r="E31" s="253"/>
      <c r="F31" s="254"/>
      <c r="G31" s="255"/>
      <c r="H31" s="256"/>
    </row>
    <row r="32" spans="1:8">
      <c r="A32" s="250" t="s">
        <v>156</v>
      </c>
      <c r="B32" s="258">
        <f>B31/B17</f>
        <v>0.27491721763537469</v>
      </c>
      <c r="C32" s="259" t="s">
        <v>117</v>
      </c>
      <c r="D32" s="260">
        <f>1/B14</f>
        <v>0.27491721763537486</v>
      </c>
      <c r="E32" s="253" t="s">
        <v>160</v>
      </c>
      <c r="F32" s="254"/>
      <c r="G32" s="261"/>
      <c r="H32" s="262"/>
    </row>
    <row r="33" spans="1:8">
      <c r="A33" s="250" t="s">
        <v>155</v>
      </c>
      <c r="B33" s="258">
        <f>B31/B26</f>
        <v>0.25125541856496625</v>
      </c>
      <c r="C33" s="253"/>
      <c r="D33" s="253"/>
      <c r="E33" s="253"/>
      <c r="F33" s="254"/>
      <c r="G33" s="261"/>
      <c r="H33" s="262"/>
    </row>
    <row r="34" spans="1:8">
      <c r="A34" s="250" t="s">
        <v>157</v>
      </c>
      <c r="B34" s="258">
        <f>B31/B28</f>
        <v>0.24019954744502922</v>
      </c>
      <c r="C34" s="253"/>
      <c r="D34" s="253"/>
      <c r="E34" s="253"/>
      <c r="F34" s="254"/>
      <c r="G34" s="261"/>
      <c r="H34" s="262"/>
    </row>
    <row r="35" spans="1:8">
      <c r="A35" s="250" t="s">
        <v>158</v>
      </c>
      <c r="B35" s="258">
        <f>B30/B28</f>
        <v>0.33732423329373812</v>
      </c>
      <c r="C35" s="253"/>
      <c r="D35" s="253"/>
      <c r="E35" s="253"/>
      <c r="F35" s="254"/>
      <c r="G35" s="261"/>
      <c r="H35" s="262"/>
    </row>
    <row r="36" spans="1:8" ht="15.75" thickBot="1">
      <c r="A36" s="263" t="s">
        <v>154</v>
      </c>
      <c r="B36" s="264">
        <f>LN(B30/B31)/B11</f>
        <v>0.22638303923000638</v>
      </c>
      <c r="C36" s="269" t="s">
        <v>117</v>
      </c>
      <c r="D36" s="270">
        <f>-LN((B28*EXP(-B10*B11)-B29*EXP(-B6*B11))/(B28-B29))/B11</f>
        <v>0.22638303923000644</v>
      </c>
      <c r="E36" s="265" t="s">
        <v>159</v>
      </c>
      <c r="F36" s="266"/>
      <c r="G36" s="267"/>
      <c r="H36" s="268"/>
    </row>
    <row r="38" spans="1:8">
      <c r="B38" s="2"/>
      <c r="C38" s="199"/>
      <c r="G38" s="2"/>
      <c r="H38" s="207"/>
    </row>
    <row r="39" spans="1:8">
      <c r="A39" s="218"/>
      <c r="B39" s="219"/>
      <c r="C39" s="199"/>
      <c r="G39" s="219"/>
      <c r="H39" s="207"/>
    </row>
    <row r="40" spans="1:8">
      <c r="A40" s="74"/>
      <c r="B40" s="199"/>
      <c r="C40" s="74"/>
      <c r="G40" s="199"/>
      <c r="H40" s="207"/>
    </row>
    <row r="41" spans="1:8">
      <c r="A41" s="74"/>
      <c r="B41" s="2"/>
      <c r="G41" s="2"/>
      <c r="H41" s="207"/>
    </row>
    <row r="42" spans="1:8">
      <c r="A42" s="218"/>
      <c r="B42" s="220"/>
      <c r="G42" s="16"/>
      <c r="H42" s="207"/>
    </row>
    <row r="43" spans="1:8">
      <c r="H43" s="207"/>
    </row>
    <row r="44" spans="1:8">
      <c r="H44" s="207"/>
    </row>
    <row r="45" spans="1:8">
      <c r="H45" s="207"/>
    </row>
    <row r="46" spans="1:8">
      <c r="A46" s="222"/>
      <c r="B46" s="16"/>
    </row>
    <row r="47" spans="1:8">
      <c r="A47" s="222"/>
      <c r="B47" s="16"/>
    </row>
    <row r="48" spans="1:8">
      <c r="A48" s="222"/>
      <c r="B48" s="16"/>
      <c r="H48" s="207"/>
    </row>
    <row r="49" spans="1:8">
      <c r="A49" s="222"/>
      <c r="B49" s="16"/>
      <c r="H49" s="207"/>
    </row>
    <row r="50" spans="1:8">
      <c r="H50" s="207"/>
    </row>
    <row r="51" spans="1:8">
      <c r="A51" s="221"/>
      <c r="B51" s="16"/>
      <c r="H51" s="207"/>
    </row>
    <row r="52" spans="1:8">
      <c r="A52" s="223"/>
      <c r="H52" s="207"/>
    </row>
    <row r="53" spans="1:8">
      <c r="H53" s="207"/>
    </row>
    <row r="54" spans="1:8">
      <c r="A54" s="224"/>
      <c r="H54" s="207"/>
    </row>
    <row r="55" spans="1:8">
      <c r="H55" s="207"/>
    </row>
    <row r="56" spans="1:8">
      <c r="H56" s="207"/>
    </row>
    <row r="57" spans="1:8">
      <c r="H57" s="207"/>
    </row>
    <row r="58" spans="1:8">
      <c r="H58" s="207"/>
    </row>
    <row r="59" spans="1:8">
      <c r="H59" s="207"/>
    </row>
    <row r="60" spans="1:8">
      <c r="H60" s="207"/>
    </row>
    <row r="61" spans="1:8">
      <c r="H61" s="207"/>
    </row>
    <row r="62" spans="1:8">
      <c r="H62" s="207"/>
    </row>
    <row r="65" spans="8:8">
      <c r="H65" s="207"/>
    </row>
    <row r="66" spans="8:8">
      <c r="H66" s="207"/>
    </row>
    <row r="67" spans="8:8">
      <c r="H67" s="207"/>
    </row>
    <row r="68" spans="8:8">
      <c r="H68" s="207"/>
    </row>
    <row r="69" spans="8:8">
      <c r="H69" s="207"/>
    </row>
    <row r="70" spans="8:8">
      <c r="H70" s="207"/>
    </row>
    <row r="71" spans="8:8">
      <c r="H71" s="207"/>
    </row>
    <row r="72" spans="8:8">
      <c r="H72" s="207"/>
    </row>
    <row r="73" spans="8:8">
      <c r="H73" s="207"/>
    </row>
    <row r="74" spans="8:8">
      <c r="H74" s="207"/>
    </row>
    <row r="75" spans="8:8">
      <c r="H75" s="207"/>
    </row>
    <row r="76" spans="8:8">
      <c r="H76" s="207"/>
    </row>
    <row r="77" spans="8:8">
      <c r="H77" s="207"/>
    </row>
    <row r="78" spans="8:8">
      <c r="H78" s="207"/>
    </row>
    <row r="79" spans="8:8">
      <c r="H79" s="207"/>
    </row>
    <row r="80" spans="8:8">
      <c r="H80" s="207"/>
    </row>
    <row r="81" spans="8:8">
      <c r="H81" s="207"/>
    </row>
    <row r="82" spans="8:8">
      <c r="H82" s="207"/>
    </row>
    <row r="83" spans="8:8">
      <c r="H83" s="207"/>
    </row>
    <row r="84" spans="8:8">
      <c r="H84" s="207"/>
    </row>
    <row r="85" spans="8:8">
      <c r="H85" s="207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3314" r:id="rId4">
          <objectPr defaultSize="0" r:id="rId5">
            <anchor moveWithCells="1">
              <from>
                <xdr:col>2</xdr:col>
                <xdr:colOff>219075</xdr:colOff>
                <xdr:row>7</xdr:row>
                <xdr:rowOff>142875</xdr:rowOff>
              </from>
              <to>
                <xdr:col>8</xdr:col>
                <xdr:colOff>600075</xdr:colOff>
                <xdr:row>15</xdr:row>
                <xdr:rowOff>28575</xdr:rowOff>
              </to>
            </anchor>
          </objectPr>
        </oleObject>
      </mc:Choice>
      <mc:Fallback>
        <oleObject progId="Equation.3" shapeId="1331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D320"/>
  <sheetViews>
    <sheetView showGridLines="0" workbookViewId="0"/>
  </sheetViews>
  <sheetFormatPr defaultColWidth="9.77734375" defaultRowHeight="15"/>
  <cols>
    <col min="1" max="1" width="25" customWidth="1"/>
    <col min="4" max="4" width="13.109375" bestFit="1" customWidth="1"/>
  </cols>
  <sheetData>
    <row r="1" spans="1:3">
      <c r="A1" t="s">
        <v>91</v>
      </c>
    </row>
    <row r="2" spans="1:3" ht="15.75" thickBot="1">
      <c r="A2" s="271" t="s">
        <v>92</v>
      </c>
    </row>
    <row r="3" spans="1:3">
      <c r="A3" s="299" t="s">
        <v>62</v>
      </c>
      <c r="B3" s="300"/>
      <c r="C3" s="301"/>
    </row>
    <row r="4" spans="1:3">
      <c r="A4" s="302" t="s">
        <v>67</v>
      </c>
      <c r="B4" s="303">
        <v>0.15</v>
      </c>
      <c r="C4" s="304">
        <v>0.2</v>
      </c>
    </row>
    <row r="5" spans="1:3">
      <c r="A5" s="302" t="s">
        <v>68</v>
      </c>
      <c r="B5" s="303">
        <v>0.06</v>
      </c>
      <c r="C5" s="304">
        <v>0.06</v>
      </c>
    </row>
    <row r="6" spans="1:3">
      <c r="A6" s="302" t="s">
        <v>72</v>
      </c>
      <c r="B6" s="303">
        <v>0.03</v>
      </c>
      <c r="C6" s="304">
        <v>0.03</v>
      </c>
    </row>
    <row r="7" spans="1:3">
      <c r="A7" s="302" t="s">
        <v>69</v>
      </c>
      <c r="B7" s="303">
        <v>0.01</v>
      </c>
      <c r="C7" s="304">
        <v>0.01</v>
      </c>
    </row>
    <row r="8" spans="1:3">
      <c r="A8" s="302" t="s">
        <v>63</v>
      </c>
      <c r="B8" s="305">
        <v>100</v>
      </c>
      <c r="C8" s="306">
        <f>B8</f>
        <v>100</v>
      </c>
    </row>
    <row r="9" spans="1:3">
      <c r="A9" s="302" t="s">
        <v>64</v>
      </c>
      <c r="B9" s="305">
        <f>90/1.02</f>
        <v>88.235294117647058</v>
      </c>
      <c r="C9" s="306">
        <f>B9</f>
        <v>88.235294117647058</v>
      </c>
    </row>
    <row r="10" spans="1:3">
      <c r="A10" s="302" t="s">
        <v>71</v>
      </c>
      <c r="B10" s="307">
        <v>0.09</v>
      </c>
      <c r="C10" s="308">
        <f>B10</f>
        <v>0.09</v>
      </c>
    </row>
    <row r="11" spans="1:3" ht="15.75" thickBot="1">
      <c r="A11" s="309" t="s">
        <v>80</v>
      </c>
      <c r="B11" s="310">
        <v>0</v>
      </c>
      <c r="C11" s="311">
        <v>0</v>
      </c>
    </row>
    <row r="12" spans="1:3" ht="15.75" thickBot="1">
      <c r="A12" s="223"/>
      <c r="B12" s="203"/>
      <c r="C12" s="203"/>
    </row>
    <row r="13" spans="1:3">
      <c r="A13" s="312" t="s">
        <v>65</v>
      </c>
      <c r="B13" s="313"/>
      <c r="C13" s="226"/>
    </row>
    <row r="14" spans="1:3">
      <c r="A14" s="314" t="s">
        <v>166</v>
      </c>
      <c r="B14" s="315">
        <f>(B5-B7+B4^2/2+((B7-B5-B4^2/2)^2+2*B7*B4^2)^0.5)/B4^2</f>
        <v>5.6030871472142598</v>
      </c>
      <c r="C14" s="227">
        <f>(C5-C7+C4^2/2+((C7-C5-C4^2/2)^2+2*C7*C4^2)^0.5)/C4^2</f>
        <v>3.6374586088176875</v>
      </c>
    </row>
    <row r="15" spans="1:3">
      <c r="A15" s="316" t="s">
        <v>88</v>
      </c>
      <c r="B15" s="317">
        <f>B14/(B14-1)</f>
        <v>1.2172455067693406</v>
      </c>
      <c r="C15" s="229">
        <f>C14/(C14-1)</f>
        <v>1.3791528696058959</v>
      </c>
    </row>
    <row r="16" spans="1:3">
      <c r="A16" s="314" t="s">
        <v>90</v>
      </c>
      <c r="B16" s="142">
        <f>B15*(EXP(B5*B11))/(EXP(B7*B11))</f>
        <v>1.2172455067693406</v>
      </c>
      <c r="C16" s="21">
        <f>C15*(EXP(C5*C11))/(EXP(C7*C11))</f>
        <v>1.3791528696058959</v>
      </c>
    </row>
    <row r="17" spans="1:4">
      <c r="A17" s="314" t="s">
        <v>89</v>
      </c>
      <c r="B17" s="318">
        <f>B15*B9/EXP(B7*B11)</f>
        <v>107.40401530317712</v>
      </c>
      <c r="C17" s="230">
        <f>C15*C9/EXP(C7*C11)</f>
        <v>121.68995908287316</v>
      </c>
    </row>
    <row r="18" spans="1:4" ht="15.75" thickBot="1">
      <c r="A18" s="319" t="s">
        <v>87</v>
      </c>
      <c r="B18" s="320">
        <f>EXP((B5-B7)*B11)*B15*B9</f>
        <v>107.40401530317712</v>
      </c>
      <c r="C18" s="321">
        <f>EXP((C5-C7)*C11)*C15*C9</f>
        <v>121.68995908287316</v>
      </c>
    </row>
    <row r="19" spans="1:4">
      <c r="A19" s="74" t="s">
        <v>93</v>
      </c>
      <c r="B19" s="74" t="s">
        <v>95</v>
      </c>
      <c r="C19" s="74" t="s">
        <v>96</v>
      </c>
      <c r="D19" s="74" t="s">
        <v>94</v>
      </c>
    </row>
    <row r="20" spans="1:4">
      <c r="A20" s="272">
        <v>0</v>
      </c>
      <c r="B20" s="217">
        <f t="shared" ref="B20:C39" si="0">IF($A20&lt;B$18,(B$17-B$9/EXP(B$7*B$11))*(($A20/EXP(B$5*B$11))/(B$17))^B$14,$A20/EXP($B$5*$B$11)-$B$9/EXP($B$7*$B$11))</f>
        <v>0</v>
      </c>
      <c r="C20" s="217">
        <f t="shared" si="0"/>
        <v>0</v>
      </c>
      <c r="D20" s="272">
        <f t="shared" ref="D20:D83" si="1">MAX(0,$A20/EXP($B$5*$B$11)-$B$9/EXP($B$7*$B$11))</f>
        <v>0</v>
      </c>
    </row>
    <row r="21" spans="1:4">
      <c r="A21" s="272">
        <f t="shared" ref="A21:A84" si="2">A20+0.01*$B$8</f>
        <v>1</v>
      </c>
      <c r="B21" s="217">
        <f t="shared" si="0"/>
        <v>7.9911297375225273E-11</v>
      </c>
      <c r="C21" s="217">
        <f t="shared" si="0"/>
        <v>8.6981894171968251E-7</v>
      </c>
      <c r="D21" s="272">
        <f t="shared" si="1"/>
        <v>0</v>
      </c>
    </row>
    <row r="22" spans="1:4">
      <c r="A22" s="272">
        <f t="shared" si="2"/>
        <v>2</v>
      </c>
      <c r="B22" s="217">
        <f t="shared" si="0"/>
        <v>3.8842348563521729E-9</v>
      </c>
      <c r="C22" s="217">
        <f t="shared" si="0"/>
        <v>1.0824628744145451E-5</v>
      </c>
      <c r="D22" s="272">
        <f t="shared" si="1"/>
        <v>0</v>
      </c>
    </row>
    <row r="23" spans="1:4">
      <c r="A23" s="272">
        <f t="shared" si="2"/>
        <v>3</v>
      </c>
      <c r="B23" s="217">
        <f t="shared" si="0"/>
        <v>3.7666923632983745E-8</v>
      </c>
      <c r="C23" s="217">
        <f t="shared" si="0"/>
        <v>4.7308336399960705E-5</v>
      </c>
      <c r="D23" s="272">
        <f t="shared" si="1"/>
        <v>0</v>
      </c>
    </row>
    <row r="24" spans="1:4">
      <c r="A24" s="272">
        <f t="shared" si="2"/>
        <v>4</v>
      </c>
      <c r="B24" s="217">
        <f t="shared" si="0"/>
        <v>1.8880034381695216E-7</v>
      </c>
      <c r="C24" s="217">
        <f t="shared" si="0"/>
        <v>1.3470916972321058E-4</v>
      </c>
      <c r="D24" s="272">
        <f t="shared" si="1"/>
        <v>0</v>
      </c>
    </row>
    <row r="25" spans="1:4">
      <c r="A25" s="272">
        <f t="shared" si="2"/>
        <v>5</v>
      </c>
      <c r="B25" s="217">
        <f t="shared" si="0"/>
        <v>6.5917090390434128E-7</v>
      </c>
      <c r="C25" s="217">
        <f t="shared" si="0"/>
        <v>3.0332158762663979E-4</v>
      </c>
      <c r="D25" s="272">
        <f t="shared" si="1"/>
        <v>0</v>
      </c>
    </row>
    <row r="26" spans="1:4">
      <c r="A26" s="272">
        <f t="shared" si="2"/>
        <v>6</v>
      </c>
      <c r="B26" s="217">
        <f t="shared" si="0"/>
        <v>1.8308697582496036E-6</v>
      </c>
      <c r="C26" s="217">
        <f t="shared" si="0"/>
        <v>5.887376711069043E-4</v>
      </c>
      <c r="D26" s="272">
        <f t="shared" si="1"/>
        <v>0</v>
      </c>
    </row>
    <row r="27" spans="1:4">
      <c r="A27" s="272">
        <f t="shared" si="2"/>
        <v>7</v>
      </c>
      <c r="B27" s="217">
        <f t="shared" si="0"/>
        <v>4.3427631870028373E-6</v>
      </c>
      <c r="C27" s="217">
        <f t="shared" si="0"/>
        <v>1.0314258266744469E-3</v>
      </c>
      <c r="D27" s="272">
        <f t="shared" si="1"/>
        <v>0</v>
      </c>
    </row>
    <row r="28" spans="1:4">
      <c r="A28" s="272">
        <f t="shared" si="2"/>
        <v>8</v>
      </c>
      <c r="B28" s="217">
        <f t="shared" si="0"/>
        <v>9.1769862388999156E-6</v>
      </c>
      <c r="C28" s="217">
        <f t="shared" si="0"/>
        <v>1.6764141141867247E-3</v>
      </c>
      <c r="D28" s="272">
        <f t="shared" si="1"/>
        <v>0</v>
      </c>
    </row>
    <row r="29" spans="1:4">
      <c r="A29" s="272">
        <f t="shared" si="2"/>
        <v>9</v>
      </c>
      <c r="B29" s="217">
        <f t="shared" si="0"/>
        <v>1.775465025065268E-5</v>
      </c>
      <c r="C29" s="217">
        <f t="shared" si="0"/>
        <v>2.5730397276783183E-3</v>
      </c>
      <c r="D29" s="272">
        <f t="shared" si="1"/>
        <v>0</v>
      </c>
    </row>
    <row r="30" spans="1:4">
      <c r="A30" s="272">
        <f t="shared" si="2"/>
        <v>10</v>
      </c>
      <c r="B30" s="217">
        <f t="shared" si="0"/>
        <v>3.2040208147492777E-5</v>
      </c>
      <c r="C30" s="217">
        <f t="shared" si="0"/>
        <v>3.7747437066061092E-3</v>
      </c>
      <c r="D30" s="272">
        <f t="shared" si="1"/>
        <v>0</v>
      </c>
    </row>
    <row r="31" spans="1:4">
      <c r="A31" s="272">
        <f t="shared" si="2"/>
        <v>11</v>
      </c>
      <c r="B31" s="217">
        <f t="shared" si="0"/>
        <v>5.4654024984380039E-5</v>
      </c>
      <c r="C31" s="217">
        <f t="shared" si="0"/>
        <v>5.3388983070364908E-3</v>
      </c>
      <c r="D31" s="272">
        <f t="shared" si="1"/>
        <v>0</v>
      </c>
    </row>
    <row r="32" spans="1:4">
      <c r="A32" s="272">
        <f t="shared" si="2"/>
        <v>12</v>
      </c>
      <c r="B32" s="217">
        <f t="shared" si="0"/>
        <v>8.899277531488287E-5</v>
      </c>
      <c r="C32" s="217">
        <f t="shared" si="0"/>
        <v>7.3266589306799088E-3</v>
      </c>
      <c r="D32" s="272">
        <f t="shared" si="1"/>
        <v>0</v>
      </c>
    </row>
    <row r="33" spans="1:4">
      <c r="A33" s="272">
        <f t="shared" si="2"/>
        <v>13</v>
      </c>
      <c r="B33" s="217">
        <f t="shared" si="0"/>
        <v>1.3935734433787608E-4</v>
      </c>
      <c r="C33" s="217">
        <f t="shared" si="0"/>
        <v>9.8028351076749152E-3</v>
      </c>
      <c r="D33" s="272">
        <f t="shared" si="1"/>
        <v>0</v>
      </c>
    </row>
    <row r="34" spans="1:4">
      <c r="A34" s="272">
        <f t="shared" si="2"/>
        <v>14</v>
      </c>
      <c r="B34" s="217">
        <f t="shared" si="0"/>
        <v>2.1108795249104724E-4</v>
      </c>
      <c r="C34" s="217">
        <f t="shared" si="0"/>
        <v>1.2835776637377831E-2</v>
      </c>
      <c r="D34" s="272">
        <f t="shared" si="1"/>
        <v>0</v>
      </c>
    </row>
    <row r="35" spans="1:4">
      <c r="A35" s="272">
        <f t="shared" si="2"/>
        <v>15</v>
      </c>
      <c r="B35" s="217">
        <f t="shared" si="0"/>
        <v>3.107062569872293E-4</v>
      </c>
      <c r="C35" s="217">
        <f t="shared" si="0"/>
        <v>1.6497272037375027E-2</v>
      </c>
      <c r="D35" s="272">
        <f t="shared" si="1"/>
        <v>0</v>
      </c>
    </row>
    <row r="36" spans="1:4">
      <c r="A36" s="272">
        <f t="shared" si="2"/>
        <v>16</v>
      </c>
      <c r="B36" s="217">
        <f t="shared" si="0"/>
        <v>4.4606421114682667E-4</v>
      </c>
      <c r="C36" s="217">
        <f t="shared" si="0"/>
        <v>2.0862457158773679E-2</v>
      </c>
      <c r="D36" s="272">
        <f t="shared" si="1"/>
        <v>0</v>
      </c>
    </row>
    <row r="37" spans="1:4">
      <c r="A37" s="272">
        <f t="shared" si="2"/>
        <v>17</v>
      </c>
      <c r="B37" s="217">
        <f t="shared" si="0"/>
        <v>6.2649948489611001E-4</v>
      </c>
      <c r="C37" s="217">
        <f t="shared" si="0"/>
        <v>2.6009732320862657E-2</v>
      </c>
      <c r="D37" s="272">
        <f t="shared" si="1"/>
        <v>0</v>
      </c>
    </row>
    <row r="38" spans="1:4">
      <c r="A38" s="272">
        <f t="shared" si="2"/>
        <v>18</v>
      </c>
      <c r="B38" s="217">
        <f t="shared" si="0"/>
        <v>8.6299726861032832E-4</v>
      </c>
      <c r="C38" s="217">
        <f t="shared" si="0"/>
        <v>3.2020686674159499E-2</v>
      </c>
      <c r="D38" s="272">
        <f t="shared" si="1"/>
        <v>0</v>
      </c>
    </row>
    <row r="39" spans="1:4">
      <c r="A39" s="272">
        <f t="shared" si="2"/>
        <v>19</v>
      </c>
      <c r="B39" s="217">
        <f t="shared" si="0"/>
        <v>1.1683582983937708E-3</v>
      </c>
      <c r="C39" s="217">
        <f t="shared" si="0"/>
        <v>3.8980028762880217E-2</v>
      </c>
      <c r="D39" s="272">
        <f t="shared" si="1"/>
        <v>0</v>
      </c>
    </row>
    <row r="40" spans="1:4">
      <c r="A40" s="272">
        <f t="shared" si="2"/>
        <v>20</v>
      </c>
      <c r="B40" s="217">
        <f t="shared" ref="B40:C59" si="3">IF($A40&lt;B$18,(B$17-B$9/EXP(B$7*B$11))*(($A40/EXP(B$5*B$11))/(B$17))^B$14,$A40/EXP($B$5*$B$11)-$B$9/EXP($B$7*$B$11))</f>
        <v>1.5573729545010995E-3</v>
      </c>
      <c r="C40" s="217">
        <f t="shared" si="3"/>
        <v>4.6975522454739509E-2</v>
      </c>
      <c r="D40" s="272">
        <f t="shared" si="1"/>
        <v>0</v>
      </c>
    </row>
    <row r="41" spans="1:4">
      <c r="A41" s="272">
        <f t="shared" si="2"/>
        <v>21</v>
      </c>
      <c r="B41" s="217">
        <f t="shared" si="3"/>
        <v>2.0470012963609181E-3</v>
      </c>
      <c r="C41" s="217">
        <f t="shared" si="3"/>
        <v>5.6097927556569137E-2</v>
      </c>
      <c r="D41" s="272">
        <f t="shared" si="1"/>
        <v>0</v>
      </c>
    </row>
    <row r="42" spans="1:4">
      <c r="A42" s="272">
        <f t="shared" si="2"/>
        <v>22</v>
      </c>
      <c r="B42" s="217">
        <f t="shared" si="3"/>
        <v>2.6565589079033947E-3</v>
      </c>
      <c r="C42" s="217">
        <f t="shared" si="3"/>
        <v>6.6440944551241193E-2</v>
      </c>
      <c r="D42" s="272">
        <f t="shared" si="1"/>
        <v>0</v>
      </c>
    </row>
    <row r="43" spans="1:4">
      <c r="A43" s="272">
        <f t="shared" si="2"/>
        <v>23</v>
      </c>
      <c r="B43" s="217">
        <f t="shared" si="3"/>
        <v>3.4079084358820825E-3</v>
      </c>
      <c r="C43" s="217">
        <f t="shared" si="3"/>
        <v>7.8101162983565425E-2</v>
      </c>
      <c r="D43" s="272">
        <f t="shared" si="1"/>
        <v>0</v>
      </c>
    </row>
    <row r="44" spans="1:4">
      <c r="A44" s="272">
        <f t="shared" si="2"/>
        <v>24</v>
      </c>
      <c r="B44" s="217">
        <f t="shared" si="3"/>
        <v>4.3256567118224792E-3</v>
      </c>
      <c r="C44" s="217">
        <f t="shared" si="3"/>
        <v>9.1178013096369845E-2</v>
      </c>
      <c r="D44" s="272">
        <f t="shared" si="1"/>
        <v>0</v>
      </c>
    </row>
    <row r="45" spans="1:4">
      <c r="A45" s="272">
        <f t="shared" si="2"/>
        <v>25</v>
      </c>
      <c r="B45" s="217">
        <f t="shared" si="3"/>
        <v>5.4373573552914762E-3</v>
      </c>
      <c r="C45" s="217">
        <f t="shared" si="3"/>
        <v>0.10577372037730999</v>
      </c>
      <c r="D45" s="272">
        <f t="shared" si="1"/>
        <v>0</v>
      </c>
    </row>
    <row r="46" spans="1:4">
      <c r="A46" s="272">
        <f t="shared" si="2"/>
        <v>26</v>
      </c>
      <c r="B46" s="217">
        <f t="shared" si="3"/>
        <v>6.7737187624946193E-3</v>
      </c>
      <c r="C46" s="217">
        <f t="shared" si="3"/>
        <v>0.1219932627253052</v>
      </c>
      <c r="D46" s="272">
        <f t="shared" si="1"/>
        <v>0</v>
      </c>
    </row>
    <row r="47" spans="1:4">
      <c r="A47" s="272">
        <f t="shared" si="2"/>
        <v>27</v>
      </c>
      <c r="B47" s="217">
        <f t="shared" si="3"/>
        <v>8.3688173898801566E-3</v>
      </c>
      <c r="C47" s="217">
        <f t="shared" si="3"/>
        <v>0.13994432998528369</v>
      </c>
      <c r="D47" s="272">
        <f t="shared" si="1"/>
        <v>0</v>
      </c>
    </row>
    <row r="48" spans="1:4">
      <c r="A48" s="272">
        <f t="shared" si="2"/>
        <v>28</v>
      </c>
      <c r="B48" s="217">
        <f t="shared" si="3"/>
        <v>1.0260316247548936E-2</v>
      </c>
      <c r="C48" s="217">
        <f t="shared" si="3"/>
        <v>0.15973728563290818</v>
      </c>
      <c r="D48" s="272">
        <f t="shared" si="1"/>
        <v>0</v>
      </c>
    </row>
    <row r="49" spans="1:4">
      <c r="A49" s="272">
        <f t="shared" si="2"/>
        <v>29</v>
      </c>
      <c r="B49" s="217">
        <f t="shared" si="3"/>
        <v>1.2489688521909882E-2</v>
      </c>
      <c r="C49" s="217">
        <f t="shared" si="3"/>
        <v>0.18148513041854569</v>
      </c>
      <c r="D49" s="272">
        <f t="shared" si="1"/>
        <v>0</v>
      </c>
    </row>
    <row r="50" spans="1:4">
      <c r="A50" s="272">
        <f t="shared" si="2"/>
        <v>30</v>
      </c>
      <c r="B50" s="217">
        <f t="shared" si="3"/>
        <v>1.510244625124397E-2</v>
      </c>
      <c r="C50" s="217">
        <f t="shared" si="3"/>
        <v>0.20530346780296627</v>
      </c>
      <c r="D50" s="272">
        <f t="shared" si="1"/>
        <v>0</v>
      </c>
    </row>
    <row r="51" spans="1:4">
      <c r="A51" s="272">
        <f t="shared" si="2"/>
        <v>31</v>
      </c>
      <c r="B51" s="217">
        <f t="shared" si="3"/>
        <v>1.8148373981696529E-2</v>
      </c>
      <c r="C51" s="217">
        <f t="shared" si="3"/>
        <v>0.23131047103693309</v>
      </c>
      <c r="D51" s="272">
        <f t="shared" si="1"/>
        <v>0</v>
      </c>
    </row>
    <row r="52" spans="1:4">
      <c r="A52" s="272">
        <f t="shared" si="2"/>
        <v>32</v>
      </c>
      <c r="B52" s="217">
        <f t="shared" si="3"/>
        <v>2.1681767334751086E-2</v>
      </c>
      <c r="C52" s="217">
        <f t="shared" si="3"/>
        <v>0.25962685175364114</v>
      </c>
      <c r="D52" s="272">
        <f t="shared" si="1"/>
        <v>0</v>
      </c>
    </row>
    <row r="53" spans="1:4">
      <c r="A53" s="272">
        <f t="shared" si="2"/>
        <v>33</v>
      </c>
      <c r="B53" s="217">
        <f t="shared" si="3"/>
        <v>2.5761676420486535E-2</v>
      </c>
      <c r="C53" s="217">
        <f t="shared" si="3"/>
        <v>0.29037582995733507</v>
      </c>
      <c r="D53" s="272">
        <f t="shared" si="1"/>
        <v>0</v>
      </c>
    </row>
    <row r="54" spans="1:4">
      <c r="A54" s="272">
        <f t="shared" si="2"/>
        <v>34</v>
      </c>
      <c r="B54" s="217">
        <f t="shared" si="3"/>
        <v>3.045215403391258E-2</v>
      </c>
      <c r="C54" s="217">
        <f t="shared" si="3"/>
        <v>0.3236831053038543</v>
      </c>
      <c r="D54" s="272">
        <f t="shared" si="1"/>
        <v>0</v>
      </c>
    </row>
    <row r="55" spans="1:4">
      <c r="A55" s="272">
        <f t="shared" si="2"/>
        <v>35</v>
      </c>
      <c r="B55" s="217">
        <f t="shared" si="3"/>
        <v>3.5822508574446583E-2</v>
      </c>
      <c r="C55" s="217">
        <f t="shared" si="3"/>
        <v>0.35967682957959346</v>
      </c>
      <c r="D55" s="272">
        <f t="shared" si="1"/>
        <v>0</v>
      </c>
    </row>
    <row r="56" spans="1:4">
      <c r="A56" s="272">
        <f t="shared" si="2"/>
        <v>36</v>
      </c>
      <c r="B56" s="217">
        <f t="shared" si="3"/>
        <v>4.1947561631156816E-2</v>
      </c>
      <c r="C56" s="217">
        <f t="shared" si="3"/>
        <v>0.39848758029471049</v>
      </c>
      <c r="D56" s="272">
        <f t="shared" si="1"/>
        <v>0</v>
      </c>
    </row>
    <row r="57" spans="1:4">
      <c r="A57" s="272">
        <f t="shared" si="2"/>
        <v>37</v>
      </c>
      <c r="B57" s="217">
        <f t="shared" si="3"/>
        <v>4.8907910178780954E-2</v>
      </c>
      <c r="C57" s="217">
        <f t="shared" si="3"/>
        <v>0.44024833531460433</v>
      </c>
      <c r="D57" s="272">
        <f t="shared" si="1"/>
        <v>0</v>
      </c>
    </row>
    <row r="58" spans="1:4">
      <c r="A58" s="272">
        <f t="shared" si="2"/>
        <v>38</v>
      </c>
      <c r="B58" s="217">
        <f t="shared" si="3"/>
        <v>5.6790193331742435E-2</v>
      </c>
      <c r="C58" s="217">
        <f t="shared" si="3"/>
        <v>0.48509444846082794</v>
      </c>
      <c r="D58" s="272">
        <f t="shared" si="1"/>
        <v>0</v>
      </c>
    </row>
    <row r="59" spans="1:4">
      <c r="A59" s="272">
        <f t="shared" si="2"/>
        <v>39</v>
      </c>
      <c r="B59" s="217">
        <f t="shared" si="3"/>
        <v>6.5687363605456447E-2</v>
      </c>
      <c r="C59" s="217">
        <f t="shared" si="3"/>
        <v>0.5331636260189494</v>
      </c>
      <c r="D59" s="272">
        <f t="shared" si="1"/>
        <v>0</v>
      </c>
    </row>
    <row r="60" spans="1:4">
      <c r="A60" s="272">
        <f t="shared" si="2"/>
        <v>40</v>
      </c>
      <c r="B60" s="217">
        <f t="shared" ref="B60:C79" si="4">IF($A60&lt;B$18,(B$17-B$9/EXP(B$7*B$11))*(($A60/EXP(B$5*B$11))/(B$17))^B$14,$A60/EXP($B$5*$B$11)-$B$9/EXP($B$7*$B$11))</f>
        <v>7.5698962636148739E-2</v>
      </c>
      <c r="C60" s="217">
        <f t="shared" si="4"/>
        <v>0.58459590409643691</v>
      </c>
      <c r="D60" s="272">
        <f t="shared" si="1"/>
        <v>0</v>
      </c>
    </row>
    <row r="61" spans="1:4">
      <c r="A61" s="272">
        <f t="shared" si="2"/>
        <v>41</v>
      </c>
      <c r="B61" s="217">
        <f t="shared" si="4"/>
        <v>8.6931401312219478E-2</v>
      </c>
      <c r="C61" s="217">
        <f t="shared" si="4"/>
        <v>0.63953362677860393</v>
      </c>
      <c r="D61" s="272">
        <f t="shared" si="1"/>
        <v>0</v>
      </c>
    </row>
    <row r="62" spans="1:4">
      <c r="A62" s="272">
        <f t="shared" si="2"/>
        <v>42</v>
      </c>
      <c r="B62" s="217">
        <f t="shared" si="4"/>
        <v>9.949824427188203E-2</v>
      </c>
      <c r="C62" s="217">
        <f t="shared" si="4"/>
        <v>0.69812142503505503</v>
      </c>
      <c r="D62" s="272">
        <f t="shared" si="1"/>
        <v>0</v>
      </c>
    </row>
    <row r="63" spans="1:4">
      <c r="A63" s="272">
        <f t="shared" si="2"/>
        <v>43</v>
      </c>
      <c r="B63" s="217">
        <f t="shared" si="4"/>
        <v>0.11352049872339964</v>
      </c>
      <c r="C63" s="217">
        <f t="shared" si="4"/>
        <v>0.76050619633302829</v>
      </c>
      <c r="D63" s="272">
        <f t="shared" si="1"/>
        <v>0</v>
      </c>
    </row>
    <row r="64" spans="1:4">
      <c r="A64" s="272">
        <f t="shared" si="2"/>
        <v>44</v>
      </c>
      <c r="B64" s="217">
        <f t="shared" si="4"/>
        <v>0.12912690754574496</v>
      </c>
      <c r="C64" s="217">
        <f t="shared" si="4"/>
        <v>0.82683708491751584</v>
      </c>
      <c r="D64" s="272">
        <f t="shared" si="1"/>
        <v>0</v>
      </c>
    </row>
    <row r="65" spans="1:4">
      <c r="A65" s="272">
        <f t="shared" si="2"/>
        <v>45</v>
      </c>
      <c r="B65" s="217">
        <f t="shared" si="4"/>
        <v>0.14645424662891948</v>
      </c>
      <c r="C65" s="217">
        <f t="shared" si="4"/>
        <v>0.89726546272123409</v>
      </c>
      <c r="D65" s="272">
        <f t="shared" si="1"/>
        <v>0</v>
      </c>
    </row>
    <row r="66" spans="1:4">
      <c r="A66" s="272">
        <f t="shared" si="2"/>
        <v>46</v>
      </c>
      <c r="B66" s="217">
        <f t="shared" si="4"/>
        <v>0.16564762641450614</v>
      </c>
      <c r="C66" s="217">
        <f t="shared" si="4"/>
        <v>0.97194491087036505</v>
      </c>
      <c r="D66" s="272">
        <f t="shared" si="1"/>
        <v>0</v>
      </c>
    </row>
    <row r="67" spans="1:4">
      <c r="A67" s="272">
        <f t="shared" si="2"/>
        <v>47</v>
      </c>
      <c r="B67" s="217">
        <f t="shared" si="4"/>
        <v>0.18686079759828908</v>
      </c>
      <c r="C67" s="217">
        <f t="shared" si="4"/>
        <v>1.0510312017545267</v>
      </c>
      <c r="D67" s="272">
        <f t="shared" si="1"/>
        <v>0</v>
      </c>
    </row>
    <row r="68" spans="1:4">
      <c r="A68" s="272">
        <f t="shared" si="2"/>
        <v>48</v>
      </c>
      <c r="B68" s="217">
        <f t="shared" si="4"/>
        <v>0.21025646095796788</v>
      </c>
      <c r="C68" s="217">
        <f t="shared" si="4"/>
        <v>1.1346822816317883</v>
      </c>
      <c r="D68" s="272">
        <f t="shared" si="1"/>
        <v>0</v>
      </c>
    </row>
    <row r="69" spans="1:4">
      <c r="A69" s="272">
        <f t="shared" si="2"/>
        <v>49</v>
      </c>
      <c r="B69" s="217">
        <f t="shared" si="4"/>
        <v>0.23600658127012283</v>
      </c>
      <c r="C69" s="217">
        <f t="shared" si="4"/>
        <v>1.2230582537416272</v>
      </c>
      <c r="D69" s="272">
        <f t="shared" si="1"/>
        <v>0</v>
      </c>
    </row>
    <row r="70" spans="1:4">
      <c r="A70" s="272">
        <f t="shared" si="2"/>
        <v>50</v>
      </c>
      <c r="B70" s="217">
        <f t="shared" si="4"/>
        <v>0.26429270528166693</v>
      </c>
      <c r="C70" s="217">
        <f t="shared" si="4"/>
        <v>1.3163213619006486</v>
      </c>
      <c r="D70" s="272">
        <f t="shared" si="1"/>
        <v>0</v>
      </c>
    </row>
    <row r="71" spans="1:4">
      <c r="A71" s="272">
        <f t="shared" si="2"/>
        <v>51</v>
      </c>
      <c r="B71" s="217">
        <f t="shared" si="4"/>
        <v>0.29530628370202811</v>
      </c>
      <c r="C71" s="217">
        <f t="shared" si="4"/>
        <v>1.4146359745576242</v>
      </c>
      <c r="D71" s="272">
        <f t="shared" si="1"/>
        <v>0</v>
      </c>
    </row>
    <row r="72" spans="1:4">
      <c r="A72" s="272">
        <f t="shared" si="2"/>
        <v>52</v>
      </c>
      <c r="B72" s="217">
        <f t="shared" si="4"/>
        <v>0.32924899718328665</v>
      </c>
      <c r="C72" s="217">
        <f t="shared" si="4"/>
        <v>1.5181685692859943</v>
      </c>
      <c r="D72" s="272">
        <f t="shared" si="1"/>
        <v>0</v>
      </c>
    </row>
    <row r="73" spans="1:4">
      <c r="A73" s="272">
        <f t="shared" si="2"/>
        <v>53</v>
      </c>
      <c r="B73" s="217">
        <f t="shared" si="4"/>
        <v>0.36633308625640576</v>
      </c>
      <c r="C73" s="217">
        <f t="shared" si="4"/>
        <v>1.6270877176934355</v>
      </c>
      <c r="D73" s="272">
        <f t="shared" si="1"/>
        <v>0</v>
      </c>
    </row>
    <row r="74" spans="1:4">
      <c r="A74" s="272">
        <f t="shared" si="2"/>
        <v>54</v>
      </c>
      <c r="B74" s="217">
        <f t="shared" si="4"/>
        <v>0.40678168519257046</v>
      </c>
      <c r="C74" s="217">
        <f t="shared" si="4"/>
        <v>1.7415640707294127</v>
      </c>
      <c r="D74" s="272">
        <f t="shared" si="1"/>
        <v>0</v>
      </c>
    </row>
    <row r="75" spans="1:4">
      <c r="A75" s="272">
        <f t="shared" si="2"/>
        <v>55</v>
      </c>
      <c r="B75" s="217">
        <f t="shared" si="4"/>
        <v>0.45082915975949894</v>
      </c>
      <c r="C75" s="217">
        <f t="shared" si="4"/>
        <v>1.8617703443728579</v>
      </c>
      <c r="D75" s="272">
        <f t="shared" si="1"/>
        <v>0</v>
      </c>
    </row>
    <row r="76" spans="1:4">
      <c r="A76" s="272">
        <f t="shared" si="2"/>
        <v>56</v>
      </c>
      <c r="B76" s="217">
        <f t="shared" si="4"/>
        <v>0.49872144884337505</v>
      </c>
      <c r="C76" s="217">
        <f t="shared" si="4"/>
        <v>1.9878813056832572</v>
      </c>
      <c r="D76" s="272">
        <f t="shared" si="1"/>
        <v>0</v>
      </c>
    </row>
    <row r="77" spans="1:4">
      <c r="A77" s="272">
        <f t="shared" si="2"/>
        <v>57</v>
      </c>
      <c r="B77" s="217">
        <f t="shared" si="4"/>
        <v>0.55071640990782844</v>
      </c>
      <c r="C77" s="217">
        <f t="shared" si="4"/>
        <v>2.1200737591993946</v>
      </c>
      <c r="D77" s="272">
        <f t="shared" si="1"/>
        <v>0</v>
      </c>
    </row>
    <row r="78" spans="1:4">
      <c r="A78" s="272">
        <f t="shared" si="2"/>
        <v>58</v>
      </c>
      <c r="B78" s="217">
        <f t="shared" si="4"/>
        <v>0.60708416826210121</v>
      </c>
      <c r="C78" s="217">
        <f t="shared" si="4"/>
        <v>2.2585265336710543</v>
      </c>
      <c r="D78" s="272">
        <f t="shared" si="1"/>
        <v>0</v>
      </c>
    </row>
    <row r="79" spans="1:4">
      <c r="A79" s="272">
        <f t="shared" si="2"/>
        <v>59</v>
      </c>
      <c r="B79" s="217">
        <f t="shared" si="4"/>
        <v>0.66810747011126248</v>
      </c>
      <c r="C79" s="217">
        <f t="shared" si="4"/>
        <v>2.4034204691097449</v>
      </c>
      <c r="D79" s="272">
        <f t="shared" si="1"/>
        <v>0</v>
      </c>
    </row>
    <row r="80" spans="1:4">
      <c r="A80" s="272">
        <f t="shared" si="2"/>
        <v>60</v>
      </c>
      <c r="B80" s="217">
        <f t="shared" ref="B80:C99" si="5">IF($A80&lt;B$18,(B$17-B$9/EXP(B$7*B$11))*(($A80/EXP(B$5*B$11))/(B$17))^B$14,$A80/EXP($B$5*$B$11)-$B$9/EXP($B$7*$B$11))</f>
        <v>0.73408203936198158</v>
      </c>
      <c r="C80" s="217">
        <f t="shared" si="5"/>
        <v>2.5549384041454051</v>
      </c>
      <c r="D80" s="272">
        <f t="shared" si="1"/>
        <v>0</v>
      </c>
    </row>
    <row r="81" spans="1:4">
      <c r="A81" s="272">
        <f t="shared" si="2"/>
        <v>61</v>
      </c>
      <c r="B81" s="217">
        <f t="shared" si="5"/>
        <v>0.80531693815801819</v>
      </c>
      <c r="C81" s="217">
        <f t="shared" si="5"/>
        <v>2.7132651636767533</v>
      </c>
      <c r="D81" s="272">
        <f t="shared" si="1"/>
        <v>0</v>
      </c>
    </row>
    <row r="82" spans="1:4">
      <c r="A82" s="272">
        <f t="shared" si="2"/>
        <v>62</v>
      </c>
      <c r="B82" s="217">
        <f t="shared" si="5"/>
        <v>0.88213493112020547</v>
      </c>
      <c r="C82" s="217">
        <f t="shared" si="5"/>
        <v>2.8785875468036548</v>
      </c>
      <c r="D82" s="272">
        <f t="shared" si="1"/>
        <v>0</v>
      </c>
    </row>
    <row r="83" spans="1:4">
      <c r="A83" s="272">
        <f t="shared" si="2"/>
        <v>63</v>
      </c>
      <c r="B83" s="217">
        <f t="shared" si="5"/>
        <v>0.96487285326629757</v>
      </c>
      <c r="C83" s="217">
        <f t="shared" si="5"/>
        <v>3.0510943150305407</v>
      </c>
      <c r="D83" s="272">
        <f t="shared" si="1"/>
        <v>0</v>
      </c>
    </row>
    <row r="84" spans="1:4">
      <c r="A84" s="272">
        <f t="shared" si="2"/>
        <v>64</v>
      </c>
      <c r="B84" s="217">
        <f t="shared" si="5"/>
        <v>1.0538819815865974</v>
      </c>
      <c r="C84" s="217">
        <f t="shared" si="5"/>
        <v>3.2309761807304458</v>
      </c>
      <c r="D84" s="272">
        <f t="shared" ref="D84:D147" si="6">MAX(0,$A84/EXP($B$5*$B$11)-$B$9/EXP($B$7*$B$11))</f>
        <v>0</v>
      </c>
    </row>
    <row r="85" spans="1:4">
      <c r="A85" s="272">
        <f t="shared" ref="A85:A148" si="7">A84+0.01*$B$8</f>
        <v>65</v>
      </c>
      <c r="B85" s="217">
        <f t="shared" si="5"/>
        <v>1.1495284102518568</v>
      </c>
      <c r="C85" s="217">
        <f t="shared" si="5"/>
        <v>3.4184257958598967</v>
      </c>
      <c r="D85" s="272">
        <f t="shared" si="6"/>
        <v>0</v>
      </c>
    </row>
    <row r="86" spans="1:4">
      <c r="A86" s="272">
        <f t="shared" si="7"/>
        <v>66</v>
      </c>
      <c r="B86" s="217">
        <f t="shared" si="5"/>
        <v>1.2521934294304489</v>
      </c>
      <c r="C86" s="217">
        <f t="shared" si="5"/>
        <v>3.6136377409153146</v>
      </c>
      <c r="D86" s="272">
        <f t="shared" si="6"/>
        <v>0</v>
      </c>
    </row>
    <row r="87" spans="1:4">
      <c r="A87" s="272">
        <f t="shared" si="7"/>
        <v>67</v>
      </c>
      <c r="B87" s="217">
        <f t="shared" si="5"/>
        <v>1.3622739076923098</v>
      </c>
      <c r="C87" s="217">
        <f t="shared" si="5"/>
        <v>3.8168085141220822</v>
      </c>
      <c r="D87" s="272">
        <f t="shared" si="6"/>
        <v>0</v>
      </c>
    </row>
    <row r="88" spans="1:4">
      <c r="A88" s="272">
        <f t="shared" si="7"/>
        <v>68</v>
      </c>
      <c r="B88" s="217">
        <f t="shared" si="5"/>
        <v>1.480182677977645</v>
      </c>
      <c r="C88" s="217">
        <f t="shared" si="5"/>
        <v>4.0281365208479469</v>
      </c>
      <c r="D88" s="272">
        <f t="shared" si="6"/>
        <v>0</v>
      </c>
    </row>
    <row r="89" spans="1:4">
      <c r="A89" s="272">
        <f t="shared" si="7"/>
        <v>69</v>
      </c>
      <c r="B89" s="217">
        <f t="shared" si="5"/>
        <v>1.6063489271088733</v>
      </c>
      <c r="C89" s="217">
        <f t="shared" si="5"/>
        <v>4.2478220632328103</v>
      </c>
      <c r="D89" s="272">
        <f t="shared" si="6"/>
        <v>0</v>
      </c>
    </row>
    <row r="90" spans="1:4">
      <c r="A90" s="272">
        <f t="shared" si="7"/>
        <v>70</v>
      </c>
      <c r="B90" s="217">
        <f t="shared" si="5"/>
        <v>1.7412185888246936</v>
      </c>
      <c r="C90" s="217">
        <f t="shared" si="5"/>
        <v>4.4760673300272824</v>
      </c>
      <c r="D90" s="272">
        <f t="shared" si="6"/>
        <v>0</v>
      </c>
    </row>
    <row r="91" spans="1:4">
      <c r="A91" s="272">
        <f t="shared" si="7"/>
        <v>71</v>
      </c>
      <c r="B91" s="217">
        <f t="shared" si="5"/>
        <v>1.8852547403156417</v>
      </c>
      <c r="C91" s="217">
        <f t="shared" si="5"/>
        <v>4.713076386632908</v>
      </c>
      <c r="D91" s="272">
        <f t="shared" si="6"/>
        <v>0</v>
      </c>
    </row>
    <row r="92" spans="1:4">
      <c r="A92" s="272">
        <f t="shared" si="7"/>
        <v>72</v>
      </c>
      <c r="B92" s="217">
        <f t="shared" si="5"/>
        <v>2.0389380022409038</v>
      </c>
      <c r="C92" s="217">
        <f t="shared" si="5"/>
        <v>4.9590551653371664</v>
      </c>
      <c r="D92" s="272">
        <f t="shared" si="6"/>
        <v>0</v>
      </c>
    </row>
    <row r="93" spans="1:4">
      <c r="A93" s="272">
        <f t="shared" si="7"/>
        <v>73</v>
      </c>
      <c r="B93" s="217">
        <f t="shared" si="5"/>
        <v>2.2027669422065386</v>
      </c>
      <c r="C93" s="217">
        <f t="shared" si="5"/>
        <v>5.2142114557367396</v>
      </c>
      <c r="D93" s="272">
        <f t="shared" si="6"/>
        <v>0</v>
      </c>
    </row>
    <row r="94" spans="1:4">
      <c r="A94" s="272">
        <f t="shared" si="7"/>
        <v>74</v>
      </c>
      <c r="B94" s="217">
        <f t="shared" si="5"/>
        <v>2.3772584816856996</v>
      </c>
      <c r="C94" s="217">
        <f t="shared" si="5"/>
        <v>5.478754895342858</v>
      </c>
      <c r="D94" s="272">
        <f t="shared" si="6"/>
        <v>0</v>
      </c>
    </row>
    <row r="95" spans="1:4">
      <c r="A95" s="272">
        <f t="shared" si="7"/>
        <v>75</v>
      </c>
      <c r="B95" s="217">
        <f t="shared" si="5"/>
        <v>2.5629483063617799</v>
      </c>
      <c r="C95" s="217">
        <f t="shared" si="5"/>
        <v>5.7528969603628228</v>
      </c>
      <c r="D95" s="272">
        <f t="shared" si="6"/>
        <v>0</v>
      </c>
    </row>
    <row r="96" spans="1:4">
      <c r="A96" s="272">
        <f t="shared" si="7"/>
        <v>76</v>
      </c>
      <c r="B96" s="217">
        <f t="shared" si="5"/>
        <v>2.7603912798757917</v>
      </c>
      <c r="C96" s="217">
        <f t="shared" si="5"/>
        <v>6.0368509566519668</v>
      </c>
      <c r="D96" s="272">
        <f t="shared" si="6"/>
        <v>0</v>
      </c>
    </row>
    <row r="97" spans="1:4">
      <c r="A97" s="272">
        <f t="shared" si="7"/>
        <v>77</v>
      </c>
      <c r="B97" s="217">
        <f t="shared" si="5"/>
        <v>2.970161860959653</v>
      </c>
      <c r="C97" s="217">
        <f t="shared" si="5"/>
        <v>6.330832010830779</v>
      </c>
      <c r="D97" s="272">
        <f t="shared" si="6"/>
        <v>0</v>
      </c>
    </row>
    <row r="98" spans="1:4">
      <c r="A98" s="272">
        <f t="shared" si="7"/>
        <v>78</v>
      </c>
      <c r="B98" s="217">
        <f t="shared" si="5"/>
        <v>3.1928545239373833</v>
      </c>
      <c r="C98" s="217">
        <f t="shared" si="5"/>
        <v>6.6350570615619722</v>
      </c>
      <c r="D98" s="272">
        <f t="shared" si="6"/>
        <v>0</v>
      </c>
    </row>
    <row r="99" spans="1:4">
      <c r="A99" s="272">
        <f t="shared" si="7"/>
        <v>79</v>
      </c>
      <c r="B99" s="217">
        <f t="shared" si="5"/>
        <v>3.4290841825765424</v>
      </c>
      <c r="C99" s="217">
        <f t="shared" si="5"/>
        <v>6.9497448509825288</v>
      </c>
      <c r="D99" s="272">
        <f t="shared" si="6"/>
        <v>0</v>
      </c>
    </row>
    <row r="100" spans="1:4">
      <c r="A100" s="272">
        <f t="shared" si="7"/>
        <v>80</v>
      </c>
      <c r="B100" s="217">
        <f t="shared" ref="B100:C119" si="8">IF($A100&lt;B$18,(B$17-B$9/EXP(B$7*B$11))*(($A100/EXP(B$5*B$11))/(B$17))^B$14,$A100/EXP($B$5*$B$11)-$B$9/EXP($B$7*$B$11))</f>
        <v>3.6794866172725693</v>
      </c>
      <c r="C100" s="217">
        <f t="shared" si="8"/>
        <v>7.2751159162861061</v>
      </c>
      <c r="D100" s="272">
        <f t="shared" si="6"/>
        <v>0</v>
      </c>
    </row>
    <row r="101" spans="1:4">
      <c r="A101" s="272">
        <f t="shared" si="7"/>
        <v>81</v>
      </c>
      <c r="B101" s="217">
        <f t="shared" si="8"/>
        <v>3.9447189055490299</v>
      </c>
      <c r="C101" s="217">
        <f t="shared" si="8"/>
        <v>7.6113925814511996</v>
      </c>
      <c r="D101" s="272">
        <f t="shared" si="6"/>
        <v>0</v>
      </c>
    </row>
    <row r="102" spans="1:4">
      <c r="A102" s="272">
        <f t="shared" si="7"/>
        <v>82</v>
      </c>
      <c r="B102" s="217">
        <f t="shared" si="8"/>
        <v>4.2254598558569647</v>
      </c>
      <c r="C102" s="217">
        <f t="shared" si="8"/>
        <v>7.9587989491107898</v>
      </c>
      <c r="D102" s="272">
        <f t="shared" si="6"/>
        <v>0</v>
      </c>
    </row>
    <row r="103" spans="1:4">
      <c r="A103" s="272">
        <f t="shared" si="7"/>
        <v>83</v>
      </c>
      <c r="B103" s="217">
        <f t="shared" si="8"/>
        <v>4.5224104446570124</v>
      </c>
      <c r="C103" s="217">
        <f t="shared" si="8"/>
        <v>8.3175608925592943</v>
      </c>
      <c r="D103" s="272">
        <f t="shared" si="6"/>
        <v>0</v>
      </c>
    </row>
    <row r="104" spans="1:4">
      <c r="A104" s="272">
        <f t="shared" si="7"/>
        <v>84</v>
      </c>
      <c r="B104" s="217">
        <f t="shared" si="8"/>
        <v>4.8362942567680731</v>
      </c>
      <c r="C104" s="217">
        <f t="shared" si="8"/>
        <v>8.6879060478929144</v>
      </c>
      <c r="D104" s="272">
        <f t="shared" si="6"/>
        <v>0</v>
      </c>
    </row>
    <row r="105" spans="1:4">
      <c r="A105" s="272">
        <f t="shared" si="7"/>
        <v>85</v>
      </c>
      <c r="B105" s="217">
        <f t="shared" si="8"/>
        <v>5.1678579289666882</v>
      </c>
      <c r="C105" s="217">
        <f t="shared" si="8"/>
        <v>9.0700638062794603</v>
      </c>
      <c r="D105" s="272">
        <f t="shared" si="6"/>
        <v>0</v>
      </c>
    </row>
    <row r="106" spans="1:4">
      <c r="A106" s="272">
        <f t="shared" si="7"/>
        <v>86</v>
      </c>
      <c r="B106" s="217">
        <f t="shared" si="8"/>
        <v>5.5178715968214975</v>
      </c>
      <c r="C106" s="217">
        <f t="shared" si="8"/>
        <v>9.4642653063541022</v>
      </c>
      <c r="D106" s="272">
        <f t="shared" si="6"/>
        <v>0</v>
      </c>
    </row>
    <row r="107" spans="1:4">
      <c r="A107" s="272">
        <f t="shared" si="7"/>
        <v>87</v>
      </c>
      <c r="B107" s="217">
        <f t="shared" si="8"/>
        <v>5.8871293447474953</v>
      </c>
      <c r="C107" s="217">
        <f t="shared" si="8"/>
        <v>9.8707434267375032</v>
      </c>
      <c r="D107" s="272">
        <f t="shared" si="6"/>
        <v>0</v>
      </c>
    </row>
    <row r="108" spans="1:4">
      <c r="A108" s="272">
        <f t="shared" si="7"/>
        <v>88</v>
      </c>
      <c r="B108" s="217">
        <f t="shared" si="8"/>
        <v>6.2764496592648884</v>
      </c>
      <c r="C108" s="217">
        <f t="shared" si="8"/>
        <v>10.289732778672892</v>
      </c>
      <c r="D108" s="272">
        <f t="shared" si="6"/>
        <v>0</v>
      </c>
    </row>
    <row r="109" spans="1:4">
      <c r="A109" s="272">
        <f t="shared" si="7"/>
        <v>89</v>
      </c>
      <c r="B109" s="217">
        <f t="shared" si="8"/>
        <v>6.686675885447829</v>
      </c>
      <c r="C109" s="217">
        <f t="shared" si="8"/>
        <v>10.721469698778938</v>
      </c>
      <c r="D109" s="272">
        <f t="shared" si="6"/>
        <v>0.76470588235294201</v>
      </c>
    </row>
    <row r="110" spans="1:4">
      <c r="A110" s="272">
        <f t="shared" si="7"/>
        <v>90</v>
      </c>
      <c r="B110" s="217">
        <f t="shared" si="8"/>
        <v>7.118676686548338</v>
      </c>
      <c r="C110" s="217">
        <f t="shared" si="8"/>
        <v>11.166192241915246</v>
      </c>
      <c r="D110" s="272">
        <f t="shared" si="6"/>
        <v>1.764705882352942</v>
      </c>
    </row>
    <row r="111" spans="1:4">
      <c r="A111" s="272">
        <f t="shared" si="7"/>
        <v>91</v>
      </c>
      <c r="B111" s="217">
        <f t="shared" si="8"/>
        <v>7.5733465067810775</v>
      </c>
      <c r="C111" s="217">
        <f t="shared" si="8"/>
        <v>11.624140174157468</v>
      </c>
      <c r="D111" s="272">
        <f t="shared" si="6"/>
        <v>2.764705882352942</v>
      </c>
    </row>
    <row r="112" spans="1:4">
      <c r="A112" s="272">
        <f t="shared" si="7"/>
        <v>92</v>
      </c>
      <c r="B112" s="217">
        <f t="shared" si="8"/>
        <v>8.0516060372548104</v>
      </c>
      <c r="C112" s="217">
        <f t="shared" si="8"/>
        <v>12.095554965879151</v>
      </c>
      <c r="D112" s="272">
        <f t="shared" si="6"/>
        <v>3.764705882352942</v>
      </c>
    </row>
    <row r="113" spans="1:4">
      <c r="A113" s="272">
        <f t="shared" si="7"/>
        <v>93</v>
      </c>
      <c r="B113" s="217">
        <f t="shared" si="8"/>
        <v>8.5544026850366741</v>
      </c>
      <c r="C113" s="217">
        <f t="shared" si="8"/>
        <v>12.580679784937598</v>
      </c>
      <c r="D113" s="272">
        <f t="shared" si="6"/>
        <v>4.764705882352942</v>
      </c>
    </row>
    <row r="114" spans="1:4">
      <c r="A114" s="272">
        <f t="shared" si="7"/>
        <v>94</v>
      </c>
      <c r="B114" s="217">
        <f t="shared" si="8"/>
        <v>9.0827110453354489</v>
      </c>
      <c r="C114" s="217">
        <f t="shared" si="8"/>
        <v>13.079759489960942</v>
      </c>
      <c r="D114" s="272">
        <f t="shared" si="6"/>
        <v>5.764705882352942</v>
      </c>
    </row>
    <row r="115" spans="1:4">
      <c r="A115" s="272">
        <f t="shared" si="7"/>
        <v>95</v>
      </c>
      <c r="B115" s="217">
        <f t="shared" si="8"/>
        <v>9.6375333767904383</v>
      </c>
      <c r="C115" s="217">
        <f t="shared" si="8"/>
        <v>13.593040623733952</v>
      </c>
      <c r="D115" s="272">
        <f t="shared" si="6"/>
        <v>6.764705882352942</v>
      </c>
    </row>
    <row r="116" spans="1:4">
      <c r="A116" s="272">
        <f t="shared" si="7"/>
        <v>96</v>
      </c>
      <c r="B116" s="217">
        <f t="shared" si="8"/>
        <v>10.219900079852604</v>
      </c>
      <c r="C116" s="217">
        <f t="shared" si="8"/>
        <v>14.120771406680072</v>
      </c>
      <c r="D116" s="272">
        <f t="shared" si="6"/>
        <v>7.764705882352942</v>
      </c>
    </row>
    <row r="117" spans="1:4">
      <c r="A117" s="272">
        <f t="shared" si="7"/>
        <v>97</v>
      </c>
      <c r="B117" s="217">
        <f t="shared" si="8"/>
        <v>10.830870178244838</v>
      </c>
      <c r="C117" s="217">
        <f t="shared" si="8"/>
        <v>14.663201730437216</v>
      </c>
      <c r="D117" s="272">
        <f t="shared" si="6"/>
        <v>8.764705882352942</v>
      </c>
    </row>
    <row r="118" spans="1:4">
      <c r="A118" s="272">
        <f t="shared" si="7"/>
        <v>98</v>
      </c>
      <c r="B118" s="217">
        <f t="shared" si="8"/>
        <v>11.471531803488508</v>
      </c>
      <c r="C118" s="217">
        <f t="shared" si="8"/>
        <v>15.220583151525076</v>
      </c>
      <c r="D118" s="272">
        <f t="shared" si="6"/>
        <v>9.764705882352942</v>
      </c>
    </row>
    <row r="119" spans="1:4">
      <c r="A119" s="272">
        <f t="shared" si="7"/>
        <v>99</v>
      </c>
      <c r="B119" s="217">
        <f t="shared" si="8"/>
        <v>12.143002682483564</v>
      </c>
      <c r="C119" s="217">
        <f t="shared" si="8"/>
        <v>15.793168885101757</v>
      </c>
      <c r="D119" s="272">
        <f t="shared" si="6"/>
        <v>10.764705882352942</v>
      </c>
    </row>
    <row r="120" spans="1:4">
      <c r="A120" s="272">
        <f t="shared" si="7"/>
        <v>100</v>
      </c>
      <c r="B120" s="217">
        <f t="shared" ref="B120:C139" si="9">IF($A120&lt;B$18,(B$17-B$9/EXP(B$7*B$11))*(($A120/EXP(B$5*B$11))/(B$17))^B$14,$A120/EXP($B$5*$B$11)-$B$9/EXP($B$7*$B$11))</f>
        <v>12.846430628129568</v>
      </c>
      <c r="C120" s="217">
        <f t="shared" si="9"/>
        <v>16.381213798807352</v>
      </c>
      <c r="D120" s="272">
        <f t="shared" si="6"/>
        <v>11.764705882352942</v>
      </c>
    </row>
    <row r="121" spans="1:4">
      <c r="A121" s="272">
        <f t="shared" si="7"/>
        <v>101</v>
      </c>
      <c r="B121" s="217">
        <f t="shared" si="9"/>
        <v>13.582994032975453</v>
      </c>
      <c r="C121" s="217">
        <f t="shared" si="9"/>
        <v>16.984974406692682</v>
      </c>
      <c r="D121" s="272">
        <f t="shared" si="6"/>
        <v>12.764705882352942</v>
      </c>
    </row>
    <row r="122" spans="1:4">
      <c r="A122" s="272">
        <f t="shared" si="7"/>
        <v>102</v>
      </c>
      <c r="B122" s="217">
        <f t="shared" si="9"/>
        <v>14.353902365885707</v>
      </c>
      <c r="C122" s="217">
        <f t="shared" si="9"/>
        <v>17.604708863230986</v>
      </c>
      <c r="D122" s="272">
        <f t="shared" si="6"/>
        <v>13.764705882352942</v>
      </c>
    </row>
    <row r="123" spans="1:4">
      <c r="A123" s="272">
        <f t="shared" si="7"/>
        <v>103</v>
      </c>
      <c r="B123" s="217">
        <f t="shared" si="9"/>
        <v>15.160396671711005</v>
      </c>
      <c r="C123" s="217">
        <f t="shared" si="9"/>
        <v>18.240676957410582</v>
      </c>
      <c r="D123" s="272">
        <f t="shared" si="6"/>
        <v>14.764705882352942</v>
      </c>
    </row>
    <row r="124" spans="1:4">
      <c r="A124" s="272">
        <f t="shared" si="7"/>
        <v>104</v>
      </c>
      <c r="B124" s="217">
        <f t="shared" si="9"/>
        <v>16.003750073951508</v>
      </c>
      <c r="C124" s="217">
        <f t="shared" si="9"/>
        <v>18.893140106906802</v>
      </c>
      <c r="D124" s="272">
        <f t="shared" si="6"/>
        <v>15.764705882352942</v>
      </c>
    </row>
    <row r="125" spans="1:4">
      <c r="A125" s="272">
        <f t="shared" si="7"/>
        <v>105</v>
      </c>
      <c r="B125" s="217">
        <f t="shared" si="9"/>
        <v>16.885268280400997</v>
      </c>
      <c r="C125" s="217">
        <f t="shared" si="9"/>
        <v>19.562361352331248</v>
      </c>
      <c r="D125" s="272">
        <f t="shared" si="6"/>
        <v>16.764705882352942</v>
      </c>
    </row>
    <row r="126" spans="1:4">
      <c r="A126" s="272">
        <f t="shared" si="7"/>
        <v>106</v>
      </c>
      <c r="B126" s="217">
        <f t="shared" si="9"/>
        <v>17.806290091760495</v>
      </c>
      <c r="C126" s="217">
        <f t="shared" si="9"/>
        <v>20.248605351556535</v>
      </c>
      <c r="D126" s="272">
        <f t="shared" si="6"/>
        <v>17.764705882352942</v>
      </c>
    </row>
    <row r="127" spans="1:4">
      <c r="A127" s="272">
        <f t="shared" si="7"/>
        <v>107</v>
      </c>
      <c r="B127" s="217">
        <f t="shared" si="9"/>
        <v>18.768187913209935</v>
      </c>
      <c r="C127" s="217">
        <f t="shared" si="9"/>
        <v>20.95213837411503</v>
      </c>
      <c r="D127" s="272">
        <f t="shared" si="6"/>
        <v>18.764705882352942</v>
      </c>
    </row>
    <row r="128" spans="1:4">
      <c r="A128" s="272">
        <f t="shared" si="7"/>
        <v>108</v>
      </c>
      <c r="B128" s="217">
        <f t="shared" si="9"/>
        <v>19.764705882352942</v>
      </c>
      <c r="C128" s="217">
        <f t="shared" si="9"/>
        <v>21.673228295669791</v>
      </c>
      <c r="D128" s="272">
        <f t="shared" si="6"/>
        <v>19.764705882352942</v>
      </c>
    </row>
    <row r="129" spans="1:4">
      <c r="A129" s="272">
        <f t="shared" si="7"/>
        <v>109</v>
      </c>
      <c r="B129" s="217">
        <f t="shared" si="9"/>
        <v>20.764705882352942</v>
      </c>
      <c r="C129" s="217">
        <f t="shared" si="9"/>
        <v>22.412144592556032</v>
      </c>
      <c r="D129" s="272">
        <f t="shared" si="6"/>
        <v>20.764705882352942</v>
      </c>
    </row>
    <row r="130" spans="1:4">
      <c r="A130" s="272">
        <f t="shared" si="7"/>
        <v>110</v>
      </c>
      <c r="B130" s="217">
        <f t="shared" si="9"/>
        <v>21.764705882352942</v>
      </c>
      <c r="C130" s="217">
        <f t="shared" si="9"/>
        <v>23.16915833639176</v>
      </c>
      <c r="D130" s="272">
        <f t="shared" si="6"/>
        <v>21.764705882352942</v>
      </c>
    </row>
    <row r="131" spans="1:4">
      <c r="A131" s="272">
        <f t="shared" si="7"/>
        <v>111</v>
      </c>
      <c r="B131" s="217">
        <f t="shared" si="9"/>
        <v>22.764705882352942</v>
      </c>
      <c r="C131" s="217">
        <f t="shared" si="9"/>
        <v>23.944542188756028</v>
      </c>
      <c r="D131" s="272">
        <f t="shared" si="6"/>
        <v>22.764705882352942</v>
      </c>
    </row>
    <row r="132" spans="1:4">
      <c r="A132" s="272">
        <f t="shared" si="7"/>
        <v>112</v>
      </c>
      <c r="B132" s="217">
        <f t="shared" si="9"/>
        <v>23.764705882352942</v>
      </c>
      <c r="C132" s="217">
        <f t="shared" si="9"/>
        <v>24.738570395933102</v>
      </c>
      <c r="D132" s="272">
        <f t="shared" si="6"/>
        <v>23.764705882352942</v>
      </c>
    </row>
    <row r="133" spans="1:4">
      <c r="A133" s="272">
        <f t="shared" si="7"/>
        <v>113</v>
      </c>
      <c r="B133" s="217">
        <f t="shared" si="9"/>
        <v>24.764705882352942</v>
      </c>
      <c r="C133" s="217">
        <f t="shared" si="9"/>
        <v>25.551518783721576</v>
      </c>
      <c r="D133" s="272">
        <f t="shared" si="6"/>
        <v>24.764705882352942</v>
      </c>
    </row>
    <row r="134" spans="1:4">
      <c r="A134" s="272">
        <f t="shared" si="7"/>
        <v>114</v>
      </c>
      <c r="B134" s="217">
        <f t="shared" si="9"/>
        <v>25.764705882352942</v>
      </c>
      <c r="C134" s="217">
        <f t="shared" si="9"/>
        <v>26.383664752306689</v>
      </c>
      <c r="D134" s="272">
        <f t="shared" si="6"/>
        <v>25.764705882352942</v>
      </c>
    </row>
    <row r="135" spans="1:4">
      <c r="A135" s="272">
        <f t="shared" si="7"/>
        <v>115</v>
      </c>
      <c r="B135" s="217">
        <f t="shared" si="9"/>
        <v>26.764705882352942</v>
      </c>
      <c r="C135" s="217">
        <f t="shared" si="9"/>
        <v>27.235287271194615</v>
      </c>
      <c r="D135" s="272">
        <f t="shared" si="6"/>
        <v>26.764705882352942</v>
      </c>
    </row>
    <row r="136" spans="1:4">
      <c r="A136" s="272">
        <f t="shared" si="7"/>
        <v>116</v>
      </c>
      <c r="B136" s="217">
        <f t="shared" si="9"/>
        <v>27.764705882352942</v>
      </c>
      <c r="C136" s="217">
        <f t="shared" si="9"/>
        <v>28.106666874207594</v>
      </c>
      <c r="D136" s="272">
        <f t="shared" si="6"/>
        <v>27.764705882352942</v>
      </c>
    </row>
    <row r="137" spans="1:4">
      <c r="A137" s="272">
        <f t="shared" si="7"/>
        <v>117</v>
      </c>
      <c r="B137" s="217">
        <f t="shared" si="9"/>
        <v>28.764705882352942</v>
      </c>
      <c r="C137" s="217">
        <f t="shared" si="9"/>
        <v>28.998085654538468</v>
      </c>
      <c r="D137" s="272">
        <f t="shared" si="6"/>
        <v>28.764705882352942</v>
      </c>
    </row>
    <row r="138" spans="1:4">
      <c r="A138" s="272">
        <f t="shared" si="7"/>
        <v>118</v>
      </c>
      <c r="B138" s="217">
        <f t="shared" si="9"/>
        <v>29.764705882352942</v>
      </c>
      <c r="C138" s="217">
        <f t="shared" si="9"/>
        <v>29.90982725986343</v>
      </c>
      <c r="D138" s="272">
        <f t="shared" si="6"/>
        <v>29.764705882352942</v>
      </c>
    </row>
    <row r="139" spans="1:4">
      <c r="A139" s="272">
        <f t="shared" si="7"/>
        <v>119</v>
      </c>
      <c r="B139" s="217">
        <f t="shared" si="9"/>
        <v>30.764705882352942</v>
      </c>
      <c r="C139" s="217">
        <f t="shared" si="9"/>
        <v>30.842176887511897</v>
      </c>
      <c r="D139" s="272">
        <f t="shared" si="6"/>
        <v>30.764705882352942</v>
      </c>
    </row>
    <row r="140" spans="1:4">
      <c r="A140" s="272">
        <f t="shared" si="7"/>
        <v>120</v>
      </c>
      <c r="B140" s="217">
        <f t="shared" ref="B140:C159" si="10">IF($A140&lt;B$18,(B$17-B$9/EXP(B$7*B$11))*(($A140/EXP(B$5*B$11))/(B$17))^B$14,$A140/EXP($B$5*$B$11)-$B$9/EXP($B$7*$B$11))</f>
        <v>31.764705882352942</v>
      </c>
      <c r="C140" s="217">
        <f t="shared" si="10"/>
        <v>31.795421279692366</v>
      </c>
      <c r="D140" s="272">
        <f t="shared" si="6"/>
        <v>31.764705882352942</v>
      </c>
    </row>
    <row r="141" spans="1:4">
      <c r="A141" s="272">
        <f t="shared" si="7"/>
        <v>121</v>
      </c>
      <c r="B141" s="217">
        <f t="shared" si="10"/>
        <v>32.764705882352942</v>
      </c>
      <c r="C141" s="217">
        <f t="shared" si="10"/>
        <v>32.769848718772913</v>
      </c>
      <c r="D141" s="272">
        <f t="shared" si="6"/>
        <v>32.764705882352942</v>
      </c>
    </row>
    <row r="142" spans="1:4">
      <c r="A142" s="272">
        <f t="shared" si="7"/>
        <v>122</v>
      </c>
      <c r="B142" s="217">
        <f t="shared" si="10"/>
        <v>33.764705882352942</v>
      </c>
      <c r="C142" s="217">
        <f t="shared" si="10"/>
        <v>33.764705882352942</v>
      </c>
      <c r="D142" s="272">
        <f t="shared" si="6"/>
        <v>33.764705882352942</v>
      </c>
    </row>
    <row r="143" spans="1:4">
      <c r="A143" s="272">
        <f t="shared" si="7"/>
        <v>123</v>
      </c>
      <c r="B143" s="217">
        <f t="shared" si="10"/>
        <v>34.764705882352942</v>
      </c>
      <c r="C143" s="217">
        <f t="shared" si="10"/>
        <v>34.764705882352942</v>
      </c>
      <c r="D143" s="272">
        <f t="shared" si="6"/>
        <v>34.764705882352942</v>
      </c>
    </row>
    <row r="144" spans="1:4">
      <c r="A144" s="272">
        <f t="shared" si="7"/>
        <v>124</v>
      </c>
      <c r="B144" s="217">
        <f t="shared" si="10"/>
        <v>35.764705882352942</v>
      </c>
      <c r="C144" s="217">
        <f t="shared" si="10"/>
        <v>35.764705882352942</v>
      </c>
      <c r="D144" s="272">
        <f t="shared" si="6"/>
        <v>35.764705882352942</v>
      </c>
    </row>
    <row r="145" spans="1:4">
      <c r="A145" s="272">
        <f t="shared" si="7"/>
        <v>125</v>
      </c>
      <c r="B145" s="217">
        <f t="shared" si="10"/>
        <v>36.764705882352942</v>
      </c>
      <c r="C145" s="217">
        <f t="shared" si="10"/>
        <v>36.764705882352942</v>
      </c>
      <c r="D145" s="272">
        <f t="shared" si="6"/>
        <v>36.764705882352942</v>
      </c>
    </row>
    <row r="146" spans="1:4">
      <c r="A146" s="272">
        <f t="shared" si="7"/>
        <v>126</v>
      </c>
      <c r="B146" s="217">
        <f t="shared" si="10"/>
        <v>37.764705882352942</v>
      </c>
      <c r="C146" s="217">
        <f t="shared" si="10"/>
        <v>37.764705882352942</v>
      </c>
      <c r="D146" s="272">
        <f t="shared" si="6"/>
        <v>37.764705882352942</v>
      </c>
    </row>
    <row r="147" spans="1:4">
      <c r="A147" s="272">
        <f t="shared" si="7"/>
        <v>127</v>
      </c>
      <c r="B147" s="217">
        <f t="shared" si="10"/>
        <v>38.764705882352942</v>
      </c>
      <c r="C147" s="217">
        <f t="shared" si="10"/>
        <v>38.764705882352942</v>
      </c>
      <c r="D147" s="272">
        <f t="shared" si="6"/>
        <v>38.764705882352942</v>
      </c>
    </row>
    <row r="148" spans="1:4">
      <c r="A148" s="272">
        <f t="shared" si="7"/>
        <v>128</v>
      </c>
      <c r="B148" s="217">
        <f t="shared" si="10"/>
        <v>39.764705882352942</v>
      </c>
      <c r="C148" s="217">
        <f t="shared" si="10"/>
        <v>39.764705882352942</v>
      </c>
      <c r="D148" s="272">
        <f t="shared" ref="D148:D211" si="11">MAX(0,$A148/EXP($B$5*$B$11)-$B$9/EXP($B$7*$B$11))</f>
        <v>39.764705882352942</v>
      </c>
    </row>
    <row r="149" spans="1:4">
      <c r="A149" s="272">
        <f t="shared" ref="A149:A212" si="12">A148+0.01*$B$8</f>
        <v>129</v>
      </c>
      <c r="B149" s="217">
        <f t="shared" si="10"/>
        <v>40.764705882352942</v>
      </c>
      <c r="C149" s="217">
        <f t="shared" si="10"/>
        <v>40.764705882352942</v>
      </c>
      <c r="D149" s="272">
        <f t="shared" si="11"/>
        <v>40.764705882352942</v>
      </c>
    </row>
    <row r="150" spans="1:4">
      <c r="A150" s="272">
        <f t="shared" si="12"/>
        <v>130</v>
      </c>
      <c r="B150" s="217">
        <f t="shared" si="10"/>
        <v>41.764705882352942</v>
      </c>
      <c r="C150" s="217">
        <f t="shared" si="10"/>
        <v>41.764705882352942</v>
      </c>
      <c r="D150" s="272">
        <f t="shared" si="11"/>
        <v>41.764705882352942</v>
      </c>
    </row>
    <row r="151" spans="1:4">
      <c r="A151" s="272">
        <f t="shared" si="12"/>
        <v>131</v>
      </c>
      <c r="B151" s="217">
        <f t="shared" si="10"/>
        <v>42.764705882352942</v>
      </c>
      <c r="C151" s="217">
        <f t="shared" si="10"/>
        <v>42.764705882352942</v>
      </c>
      <c r="D151" s="272">
        <f t="shared" si="11"/>
        <v>42.764705882352942</v>
      </c>
    </row>
    <row r="152" spans="1:4">
      <c r="A152" s="272">
        <f t="shared" si="12"/>
        <v>132</v>
      </c>
      <c r="B152" s="217">
        <f t="shared" si="10"/>
        <v>43.764705882352942</v>
      </c>
      <c r="C152" s="217">
        <f t="shared" si="10"/>
        <v>43.764705882352942</v>
      </c>
      <c r="D152" s="272">
        <f t="shared" si="11"/>
        <v>43.764705882352942</v>
      </c>
    </row>
    <row r="153" spans="1:4">
      <c r="A153" s="272">
        <f t="shared" si="12"/>
        <v>133</v>
      </c>
      <c r="B153" s="217">
        <f t="shared" si="10"/>
        <v>44.764705882352942</v>
      </c>
      <c r="C153" s="217">
        <f t="shared" si="10"/>
        <v>44.764705882352942</v>
      </c>
      <c r="D153" s="272">
        <f t="shared" si="11"/>
        <v>44.764705882352942</v>
      </c>
    </row>
    <row r="154" spans="1:4">
      <c r="A154" s="272">
        <f t="shared" si="12"/>
        <v>134</v>
      </c>
      <c r="B154" s="217">
        <f t="shared" si="10"/>
        <v>45.764705882352942</v>
      </c>
      <c r="C154" s="217">
        <f t="shared" si="10"/>
        <v>45.764705882352942</v>
      </c>
      <c r="D154" s="272">
        <f t="shared" si="11"/>
        <v>45.764705882352942</v>
      </c>
    </row>
    <row r="155" spans="1:4">
      <c r="A155" s="272">
        <f t="shared" si="12"/>
        <v>135</v>
      </c>
      <c r="B155" s="217">
        <f t="shared" si="10"/>
        <v>46.764705882352942</v>
      </c>
      <c r="C155" s="217">
        <f t="shared" si="10"/>
        <v>46.764705882352942</v>
      </c>
      <c r="D155" s="272">
        <f t="shared" si="11"/>
        <v>46.764705882352942</v>
      </c>
    </row>
    <row r="156" spans="1:4">
      <c r="A156" s="272">
        <f t="shared" si="12"/>
        <v>136</v>
      </c>
      <c r="B156" s="217">
        <f t="shared" si="10"/>
        <v>47.764705882352942</v>
      </c>
      <c r="C156" s="217">
        <f t="shared" si="10"/>
        <v>47.764705882352942</v>
      </c>
      <c r="D156" s="272">
        <f t="shared" si="11"/>
        <v>47.764705882352942</v>
      </c>
    </row>
    <row r="157" spans="1:4">
      <c r="A157" s="272">
        <f t="shared" si="12"/>
        <v>137</v>
      </c>
      <c r="B157" s="217">
        <f t="shared" si="10"/>
        <v>48.764705882352942</v>
      </c>
      <c r="C157" s="217">
        <f t="shared" si="10"/>
        <v>48.764705882352942</v>
      </c>
      <c r="D157" s="272">
        <f t="shared" si="11"/>
        <v>48.764705882352942</v>
      </c>
    </row>
    <row r="158" spans="1:4">
      <c r="A158" s="272">
        <f t="shared" si="12"/>
        <v>138</v>
      </c>
      <c r="B158" s="217">
        <f t="shared" si="10"/>
        <v>49.764705882352942</v>
      </c>
      <c r="C158" s="217">
        <f t="shared" si="10"/>
        <v>49.764705882352942</v>
      </c>
      <c r="D158" s="272">
        <f t="shared" si="11"/>
        <v>49.764705882352942</v>
      </c>
    </row>
    <row r="159" spans="1:4">
      <c r="A159" s="272">
        <f t="shared" si="12"/>
        <v>139</v>
      </c>
      <c r="B159" s="217">
        <f t="shared" si="10"/>
        <v>50.764705882352942</v>
      </c>
      <c r="C159" s="217">
        <f t="shared" si="10"/>
        <v>50.764705882352942</v>
      </c>
      <c r="D159" s="272">
        <f t="shared" si="11"/>
        <v>50.764705882352942</v>
      </c>
    </row>
    <row r="160" spans="1:4">
      <c r="A160" s="272">
        <f t="shared" si="12"/>
        <v>140</v>
      </c>
      <c r="B160" s="217">
        <f t="shared" ref="B160:C179" si="13">IF($A160&lt;B$18,(B$17-B$9/EXP(B$7*B$11))*(($A160/EXP(B$5*B$11))/(B$17))^B$14,$A160/EXP($B$5*$B$11)-$B$9/EXP($B$7*$B$11))</f>
        <v>51.764705882352942</v>
      </c>
      <c r="C160" s="217">
        <f t="shared" si="13"/>
        <v>51.764705882352942</v>
      </c>
      <c r="D160" s="272">
        <f t="shared" si="11"/>
        <v>51.764705882352942</v>
      </c>
    </row>
    <row r="161" spans="1:4">
      <c r="A161" s="272">
        <f t="shared" si="12"/>
        <v>141</v>
      </c>
      <c r="B161" s="217">
        <f t="shared" si="13"/>
        <v>52.764705882352942</v>
      </c>
      <c r="C161" s="217">
        <f t="shared" si="13"/>
        <v>52.764705882352942</v>
      </c>
      <c r="D161" s="272">
        <f t="shared" si="11"/>
        <v>52.764705882352942</v>
      </c>
    </row>
    <row r="162" spans="1:4">
      <c r="A162" s="272">
        <f t="shared" si="12"/>
        <v>142</v>
      </c>
      <c r="B162" s="217">
        <f t="shared" si="13"/>
        <v>53.764705882352942</v>
      </c>
      <c r="C162" s="217">
        <f t="shared" si="13"/>
        <v>53.764705882352942</v>
      </c>
      <c r="D162" s="272">
        <f t="shared" si="11"/>
        <v>53.764705882352942</v>
      </c>
    </row>
    <row r="163" spans="1:4">
      <c r="A163" s="272">
        <f t="shared" si="12"/>
        <v>143</v>
      </c>
      <c r="B163" s="217">
        <f t="shared" si="13"/>
        <v>54.764705882352942</v>
      </c>
      <c r="C163" s="217">
        <f t="shared" si="13"/>
        <v>54.764705882352942</v>
      </c>
      <c r="D163" s="272">
        <f t="shared" si="11"/>
        <v>54.764705882352942</v>
      </c>
    </row>
    <row r="164" spans="1:4">
      <c r="A164" s="272">
        <f t="shared" si="12"/>
        <v>144</v>
      </c>
      <c r="B164" s="217">
        <f t="shared" si="13"/>
        <v>55.764705882352942</v>
      </c>
      <c r="C164" s="217">
        <f t="shared" si="13"/>
        <v>55.764705882352942</v>
      </c>
      <c r="D164" s="272">
        <f t="shared" si="11"/>
        <v>55.764705882352942</v>
      </c>
    </row>
    <row r="165" spans="1:4">
      <c r="A165" s="272">
        <f t="shared" si="12"/>
        <v>145</v>
      </c>
      <c r="B165" s="217">
        <f t="shared" si="13"/>
        <v>56.764705882352942</v>
      </c>
      <c r="C165" s="217">
        <f t="shared" si="13"/>
        <v>56.764705882352942</v>
      </c>
      <c r="D165" s="272">
        <f t="shared" si="11"/>
        <v>56.764705882352942</v>
      </c>
    </row>
    <row r="166" spans="1:4">
      <c r="A166" s="272">
        <f t="shared" si="12"/>
        <v>146</v>
      </c>
      <c r="B166" s="217">
        <f t="shared" si="13"/>
        <v>57.764705882352942</v>
      </c>
      <c r="C166" s="217">
        <f t="shared" si="13"/>
        <v>57.764705882352942</v>
      </c>
      <c r="D166" s="272">
        <f t="shared" si="11"/>
        <v>57.764705882352942</v>
      </c>
    </row>
    <row r="167" spans="1:4">
      <c r="A167" s="272">
        <f t="shared" si="12"/>
        <v>147</v>
      </c>
      <c r="B167" s="217">
        <f t="shared" si="13"/>
        <v>58.764705882352942</v>
      </c>
      <c r="C167" s="217">
        <f t="shared" si="13"/>
        <v>58.764705882352942</v>
      </c>
      <c r="D167" s="272">
        <f t="shared" si="11"/>
        <v>58.764705882352942</v>
      </c>
    </row>
    <row r="168" spans="1:4">
      <c r="A168" s="272">
        <f t="shared" si="12"/>
        <v>148</v>
      </c>
      <c r="B168" s="217">
        <f t="shared" si="13"/>
        <v>59.764705882352942</v>
      </c>
      <c r="C168" s="217">
        <f t="shared" si="13"/>
        <v>59.764705882352942</v>
      </c>
      <c r="D168" s="272">
        <f t="shared" si="11"/>
        <v>59.764705882352942</v>
      </c>
    </row>
    <row r="169" spans="1:4">
      <c r="A169" s="272">
        <f t="shared" si="12"/>
        <v>149</v>
      </c>
      <c r="B169" s="217">
        <f t="shared" si="13"/>
        <v>60.764705882352942</v>
      </c>
      <c r="C169" s="217">
        <f t="shared" si="13"/>
        <v>60.764705882352942</v>
      </c>
      <c r="D169" s="272">
        <f t="shared" si="11"/>
        <v>60.764705882352942</v>
      </c>
    </row>
    <row r="170" spans="1:4">
      <c r="A170" s="272">
        <f t="shared" si="12"/>
        <v>150</v>
      </c>
      <c r="B170" s="217">
        <f t="shared" si="13"/>
        <v>61.764705882352942</v>
      </c>
      <c r="C170" s="217">
        <f t="shared" si="13"/>
        <v>61.764705882352942</v>
      </c>
      <c r="D170" s="272">
        <f t="shared" si="11"/>
        <v>61.764705882352942</v>
      </c>
    </row>
    <row r="171" spans="1:4">
      <c r="A171" s="272">
        <f t="shared" si="12"/>
        <v>151</v>
      </c>
      <c r="B171" s="217">
        <f t="shared" si="13"/>
        <v>62.764705882352942</v>
      </c>
      <c r="C171" s="217">
        <f t="shared" si="13"/>
        <v>62.764705882352942</v>
      </c>
      <c r="D171" s="272">
        <f t="shared" si="11"/>
        <v>62.764705882352942</v>
      </c>
    </row>
    <row r="172" spans="1:4">
      <c r="A172" s="272">
        <f t="shared" si="12"/>
        <v>152</v>
      </c>
      <c r="B172" s="217">
        <f t="shared" si="13"/>
        <v>63.764705882352942</v>
      </c>
      <c r="C172" s="217">
        <f t="shared" si="13"/>
        <v>63.764705882352942</v>
      </c>
      <c r="D172" s="272">
        <f t="shared" si="11"/>
        <v>63.764705882352942</v>
      </c>
    </row>
    <row r="173" spans="1:4">
      <c r="A173" s="272">
        <f t="shared" si="12"/>
        <v>153</v>
      </c>
      <c r="B173" s="217">
        <f t="shared" si="13"/>
        <v>64.764705882352942</v>
      </c>
      <c r="C173" s="217">
        <f t="shared" si="13"/>
        <v>64.764705882352942</v>
      </c>
      <c r="D173" s="272">
        <f t="shared" si="11"/>
        <v>64.764705882352942</v>
      </c>
    </row>
    <row r="174" spans="1:4">
      <c r="A174" s="272">
        <f t="shared" si="12"/>
        <v>154</v>
      </c>
      <c r="B174" s="217">
        <f t="shared" si="13"/>
        <v>65.764705882352942</v>
      </c>
      <c r="C174" s="217">
        <f t="shared" si="13"/>
        <v>65.764705882352942</v>
      </c>
      <c r="D174" s="272">
        <f t="shared" si="11"/>
        <v>65.764705882352942</v>
      </c>
    </row>
    <row r="175" spans="1:4">
      <c r="A175" s="272">
        <f t="shared" si="12"/>
        <v>155</v>
      </c>
      <c r="B175" s="217">
        <f t="shared" si="13"/>
        <v>66.764705882352942</v>
      </c>
      <c r="C175" s="217">
        <f t="shared" si="13"/>
        <v>66.764705882352942</v>
      </c>
      <c r="D175" s="272">
        <f t="shared" si="11"/>
        <v>66.764705882352942</v>
      </c>
    </row>
    <row r="176" spans="1:4">
      <c r="A176" s="272">
        <f t="shared" si="12"/>
        <v>156</v>
      </c>
      <c r="B176" s="217">
        <f t="shared" si="13"/>
        <v>67.764705882352942</v>
      </c>
      <c r="C176" s="217">
        <f t="shared" si="13"/>
        <v>67.764705882352942</v>
      </c>
      <c r="D176" s="272">
        <f t="shared" si="11"/>
        <v>67.764705882352942</v>
      </c>
    </row>
    <row r="177" spans="1:4">
      <c r="A177" s="272">
        <f t="shared" si="12"/>
        <v>157</v>
      </c>
      <c r="B177" s="217">
        <f t="shared" si="13"/>
        <v>68.764705882352942</v>
      </c>
      <c r="C177" s="217">
        <f t="shared" si="13"/>
        <v>68.764705882352942</v>
      </c>
      <c r="D177" s="272">
        <f t="shared" si="11"/>
        <v>68.764705882352942</v>
      </c>
    </row>
    <row r="178" spans="1:4">
      <c r="A178" s="272">
        <f t="shared" si="12"/>
        <v>158</v>
      </c>
      <c r="B178" s="217">
        <f t="shared" si="13"/>
        <v>69.764705882352942</v>
      </c>
      <c r="C178" s="217">
        <f t="shared" si="13"/>
        <v>69.764705882352942</v>
      </c>
      <c r="D178" s="272">
        <f t="shared" si="11"/>
        <v>69.764705882352942</v>
      </c>
    </row>
    <row r="179" spans="1:4">
      <c r="A179" s="272">
        <f t="shared" si="12"/>
        <v>159</v>
      </c>
      <c r="B179" s="217">
        <f t="shared" si="13"/>
        <v>70.764705882352942</v>
      </c>
      <c r="C179" s="217">
        <f t="shared" si="13"/>
        <v>70.764705882352942</v>
      </c>
      <c r="D179" s="272">
        <f t="shared" si="11"/>
        <v>70.764705882352942</v>
      </c>
    </row>
    <row r="180" spans="1:4">
      <c r="A180" s="272">
        <f t="shared" si="12"/>
        <v>160</v>
      </c>
      <c r="B180" s="217">
        <f t="shared" ref="B180:C199" si="14">IF($A180&lt;B$18,(B$17-B$9/EXP(B$7*B$11))*(($A180/EXP(B$5*B$11))/(B$17))^B$14,$A180/EXP($B$5*$B$11)-$B$9/EXP($B$7*$B$11))</f>
        <v>71.764705882352942</v>
      </c>
      <c r="C180" s="217">
        <f t="shared" si="14"/>
        <v>71.764705882352942</v>
      </c>
      <c r="D180" s="272">
        <f t="shared" si="11"/>
        <v>71.764705882352942</v>
      </c>
    </row>
    <row r="181" spans="1:4">
      <c r="A181" s="272">
        <f t="shared" si="12"/>
        <v>161</v>
      </c>
      <c r="B181" s="217">
        <f t="shared" si="14"/>
        <v>72.764705882352942</v>
      </c>
      <c r="C181" s="217">
        <f t="shared" si="14"/>
        <v>72.764705882352942</v>
      </c>
      <c r="D181" s="272">
        <f t="shared" si="11"/>
        <v>72.764705882352942</v>
      </c>
    </row>
    <row r="182" spans="1:4">
      <c r="A182" s="272">
        <f t="shared" si="12"/>
        <v>162</v>
      </c>
      <c r="B182" s="217">
        <f t="shared" si="14"/>
        <v>73.764705882352942</v>
      </c>
      <c r="C182" s="217">
        <f t="shared" si="14"/>
        <v>73.764705882352942</v>
      </c>
      <c r="D182" s="272">
        <f t="shared" si="11"/>
        <v>73.764705882352942</v>
      </c>
    </row>
    <row r="183" spans="1:4">
      <c r="A183" s="272">
        <f t="shared" si="12"/>
        <v>163</v>
      </c>
      <c r="B183" s="217">
        <f t="shared" si="14"/>
        <v>74.764705882352942</v>
      </c>
      <c r="C183" s="217">
        <f t="shared" si="14"/>
        <v>74.764705882352942</v>
      </c>
      <c r="D183" s="272">
        <f t="shared" si="11"/>
        <v>74.764705882352942</v>
      </c>
    </row>
    <row r="184" spans="1:4">
      <c r="A184" s="272">
        <f t="shared" si="12"/>
        <v>164</v>
      </c>
      <c r="B184" s="217">
        <f t="shared" si="14"/>
        <v>75.764705882352942</v>
      </c>
      <c r="C184" s="217">
        <f t="shared" si="14"/>
        <v>75.764705882352942</v>
      </c>
      <c r="D184" s="272">
        <f t="shared" si="11"/>
        <v>75.764705882352942</v>
      </c>
    </row>
    <row r="185" spans="1:4">
      <c r="A185" s="272">
        <f t="shared" si="12"/>
        <v>165</v>
      </c>
      <c r="B185" s="217">
        <f t="shared" si="14"/>
        <v>76.764705882352942</v>
      </c>
      <c r="C185" s="217">
        <f t="shared" si="14"/>
        <v>76.764705882352942</v>
      </c>
      <c r="D185" s="272">
        <f t="shared" si="11"/>
        <v>76.764705882352942</v>
      </c>
    </row>
    <row r="186" spans="1:4">
      <c r="A186" s="272">
        <f t="shared" si="12"/>
        <v>166</v>
      </c>
      <c r="B186" s="217">
        <f t="shared" si="14"/>
        <v>77.764705882352942</v>
      </c>
      <c r="C186" s="217">
        <f t="shared" si="14"/>
        <v>77.764705882352942</v>
      </c>
      <c r="D186" s="272">
        <f t="shared" si="11"/>
        <v>77.764705882352942</v>
      </c>
    </row>
    <row r="187" spans="1:4">
      <c r="A187" s="272">
        <f t="shared" si="12"/>
        <v>167</v>
      </c>
      <c r="B187" s="217">
        <f t="shared" si="14"/>
        <v>78.764705882352942</v>
      </c>
      <c r="C187" s="217">
        <f t="shared" si="14"/>
        <v>78.764705882352942</v>
      </c>
      <c r="D187" s="272">
        <f t="shared" si="11"/>
        <v>78.764705882352942</v>
      </c>
    </row>
    <row r="188" spans="1:4">
      <c r="A188" s="272">
        <f t="shared" si="12"/>
        <v>168</v>
      </c>
      <c r="B188" s="217">
        <f t="shared" si="14"/>
        <v>79.764705882352942</v>
      </c>
      <c r="C188" s="217">
        <f t="shared" si="14"/>
        <v>79.764705882352942</v>
      </c>
      <c r="D188" s="272">
        <f t="shared" si="11"/>
        <v>79.764705882352942</v>
      </c>
    </row>
    <row r="189" spans="1:4">
      <c r="A189" s="272">
        <f t="shared" si="12"/>
        <v>169</v>
      </c>
      <c r="B189" s="217">
        <f t="shared" si="14"/>
        <v>80.764705882352942</v>
      </c>
      <c r="C189" s="217">
        <f t="shared" si="14"/>
        <v>80.764705882352942</v>
      </c>
      <c r="D189" s="272">
        <f t="shared" si="11"/>
        <v>80.764705882352942</v>
      </c>
    </row>
    <row r="190" spans="1:4">
      <c r="A190" s="272">
        <f t="shared" si="12"/>
        <v>170</v>
      </c>
      <c r="B190" s="217">
        <f t="shared" si="14"/>
        <v>81.764705882352942</v>
      </c>
      <c r="C190" s="217">
        <f t="shared" si="14"/>
        <v>81.764705882352942</v>
      </c>
      <c r="D190" s="272">
        <f t="shared" si="11"/>
        <v>81.764705882352942</v>
      </c>
    </row>
    <row r="191" spans="1:4">
      <c r="A191" s="272">
        <f t="shared" si="12"/>
        <v>171</v>
      </c>
      <c r="B191" s="217">
        <f t="shared" si="14"/>
        <v>82.764705882352942</v>
      </c>
      <c r="C191" s="217">
        <f t="shared" si="14"/>
        <v>82.764705882352942</v>
      </c>
      <c r="D191" s="272">
        <f t="shared" si="11"/>
        <v>82.764705882352942</v>
      </c>
    </row>
    <row r="192" spans="1:4">
      <c r="A192" s="272">
        <f t="shared" si="12"/>
        <v>172</v>
      </c>
      <c r="B192" s="217">
        <f t="shared" si="14"/>
        <v>83.764705882352942</v>
      </c>
      <c r="C192" s="217">
        <f t="shared" si="14"/>
        <v>83.764705882352942</v>
      </c>
      <c r="D192" s="272">
        <f t="shared" si="11"/>
        <v>83.764705882352942</v>
      </c>
    </row>
    <row r="193" spans="1:4">
      <c r="A193" s="272">
        <f t="shared" si="12"/>
        <v>173</v>
      </c>
      <c r="B193" s="217">
        <f t="shared" si="14"/>
        <v>84.764705882352942</v>
      </c>
      <c r="C193" s="217">
        <f t="shared" si="14"/>
        <v>84.764705882352942</v>
      </c>
      <c r="D193" s="272">
        <f t="shared" si="11"/>
        <v>84.764705882352942</v>
      </c>
    </row>
    <row r="194" spans="1:4">
      <c r="A194" s="272">
        <f t="shared" si="12"/>
        <v>174</v>
      </c>
      <c r="B194" s="217">
        <f t="shared" si="14"/>
        <v>85.764705882352942</v>
      </c>
      <c r="C194" s="217">
        <f t="shared" si="14"/>
        <v>85.764705882352942</v>
      </c>
      <c r="D194" s="272">
        <f t="shared" si="11"/>
        <v>85.764705882352942</v>
      </c>
    </row>
    <row r="195" spans="1:4">
      <c r="A195" s="272">
        <f t="shared" si="12"/>
        <v>175</v>
      </c>
      <c r="B195" s="217">
        <f t="shared" si="14"/>
        <v>86.764705882352942</v>
      </c>
      <c r="C195" s="217">
        <f t="shared" si="14"/>
        <v>86.764705882352942</v>
      </c>
      <c r="D195" s="272">
        <f t="shared" si="11"/>
        <v>86.764705882352942</v>
      </c>
    </row>
    <row r="196" spans="1:4">
      <c r="A196" s="272">
        <f t="shared" si="12"/>
        <v>176</v>
      </c>
      <c r="B196" s="217">
        <f t="shared" si="14"/>
        <v>87.764705882352942</v>
      </c>
      <c r="C196" s="217">
        <f t="shared" si="14"/>
        <v>87.764705882352942</v>
      </c>
      <c r="D196" s="272">
        <f t="shared" si="11"/>
        <v>87.764705882352942</v>
      </c>
    </row>
    <row r="197" spans="1:4">
      <c r="A197" s="272">
        <f t="shared" si="12"/>
        <v>177</v>
      </c>
      <c r="B197" s="217">
        <f t="shared" si="14"/>
        <v>88.764705882352942</v>
      </c>
      <c r="C197" s="217">
        <f t="shared" si="14"/>
        <v>88.764705882352942</v>
      </c>
      <c r="D197" s="272">
        <f t="shared" si="11"/>
        <v>88.764705882352942</v>
      </c>
    </row>
    <row r="198" spans="1:4">
      <c r="A198" s="272">
        <f t="shared" si="12"/>
        <v>178</v>
      </c>
      <c r="B198" s="217">
        <f t="shared" si="14"/>
        <v>89.764705882352942</v>
      </c>
      <c r="C198" s="217">
        <f t="shared" si="14"/>
        <v>89.764705882352942</v>
      </c>
      <c r="D198" s="272">
        <f t="shared" si="11"/>
        <v>89.764705882352942</v>
      </c>
    </row>
    <row r="199" spans="1:4">
      <c r="A199" s="272">
        <f t="shared" si="12"/>
        <v>179</v>
      </c>
      <c r="B199" s="217">
        <f t="shared" si="14"/>
        <v>90.764705882352942</v>
      </c>
      <c r="C199" s="217">
        <f t="shared" si="14"/>
        <v>90.764705882352942</v>
      </c>
      <c r="D199" s="272">
        <f t="shared" si="11"/>
        <v>90.764705882352942</v>
      </c>
    </row>
    <row r="200" spans="1:4">
      <c r="A200" s="272">
        <f t="shared" si="12"/>
        <v>180</v>
      </c>
      <c r="B200" s="217">
        <f t="shared" ref="B200:C219" si="15">IF($A200&lt;B$18,(B$17-B$9/EXP(B$7*B$11))*(($A200/EXP(B$5*B$11))/(B$17))^B$14,$A200/EXP($B$5*$B$11)-$B$9/EXP($B$7*$B$11))</f>
        <v>91.764705882352942</v>
      </c>
      <c r="C200" s="217">
        <f t="shared" si="15"/>
        <v>91.764705882352942</v>
      </c>
      <c r="D200" s="272">
        <f t="shared" si="11"/>
        <v>91.764705882352942</v>
      </c>
    </row>
    <row r="201" spans="1:4">
      <c r="A201" s="272">
        <f t="shared" si="12"/>
        <v>181</v>
      </c>
      <c r="B201" s="217">
        <f t="shared" si="15"/>
        <v>92.764705882352942</v>
      </c>
      <c r="C201" s="217">
        <f t="shared" si="15"/>
        <v>92.764705882352942</v>
      </c>
      <c r="D201" s="272">
        <f t="shared" si="11"/>
        <v>92.764705882352942</v>
      </c>
    </row>
    <row r="202" spans="1:4">
      <c r="A202" s="272">
        <f t="shared" si="12"/>
        <v>182</v>
      </c>
      <c r="B202" s="217">
        <f t="shared" si="15"/>
        <v>93.764705882352942</v>
      </c>
      <c r="C202" s="217">
        <f t="shared" si="15"/>
        <v>93.764705882352942</v>
      </c>
      <c r="D202" s="272">
        <f t="shared" si="11"/>
        <v>93.764705882352942</v>
      </c>
    </row>
    <row r="203" spans="1:4">
      <c r="A203" s="272">
        <f t="shared" si="12"/>
        <v>183</v>
      </c>
      <c r="B203" s="217">
        <f t="shared" si="15"/>
        <v>94.764705882352942</v>
      </c>
      <c r="C203" s="217">
        <f t="shared" si="15"/>
        <v>94.764705882352942</v>
      </c>
      <c r="D203" s="272">
        <f t="shared" si="11"/>
        <v>94.764705882352942</v>
      </c>
    </row>
    <row r="204" spans="1:4">
      <c r="A204" s="272">
        <f t="shared" si="12"/>
        <v>184</v>
      </c>
      <c r="B204" s="217">
        <f t="shared" si="15"/>
        <v>95.764705882352942</v>
      </c>
      <c r="C204" s="217">
        <f t="shared" si="15"/>
        <v>95.764705882352942</v>
      </c>
      <c r="D204" s="272">
        <f t="shared" si="11"/>
        <v>95.764705882352942</v>
      </c>
    </row>
    <row r="205" spans="1:4">
      <c r="A205" s="272">
        <f t="shared" si="12"/>
        <v>185</v>
      </c>
      <c r="B205" s="217">
        <f t="shared" si="15"/>
        <v>96.764705882352942</v>
      </c>
      <c r="C205" s="217">
        <f t="shared" si="15"/>
        <v>96.764705882352942</v>
      </c>
      <c r="D205" s="272">
        <f t="shared" si="11"/>
        <v>96.764705882352942</v>
      </c>
    </row>
    <row r="206" spans="1:4">
      <c r="A206" s="272">
        <f t="shared" si="12"/>
        <v>186</v>
      </c>
      <c r="B206" s="217">
        <f t="shared" si="15"/>
        <v>97.764705882352942</v>
      </c>
      <c r="C206" s="217">
        <f t="shared" si="15"/>
        <v>97.764705882352942</v>
      </c>
      <c r="D206" s="272">
        <f t="shared" si="11"/>
        <v>97.764705882352942</v>
      </c>
    </row>
    <row r="207" spans="1:4">
      <c r="A207" s="272">
        <f t="shared" si="12"/>
        <v>187</v>
      </c>
      <c r="B207" s="217">
        <f t="shared" si="15"/>
        <v>98.764705882352942</v>
      </c>
      <c r="C207" s="217">
        <f t="shared" si="15"/>
        <v>98.764705882352942</v>
      </c>
      <c r="D207" s="272">
        <f t="shared" si="11"/>
        <v>98.764705882352942</v>
      </c>
    </row>
    <row r="208" spans="1:4">
      <c r="A208" s="272">
        <f t="shared" si="12"/>
        <v>188</v>
      </c>
      <c r="B208" s="217">
        <f t="shared" si="15"/>
        <v>99.764705882352942</v>
      </c>
      <c r="C208" s="217">
        <f t="shared" si="15"/>
        <v>99.764705882352942</v>
      </c>
      <c r="D208" s="272">
        <f t="shared" si="11"/>
        <v>99.764705882352942</v>
      </c>
    </row>
    <row r="209" spans="1:4">
      <c r="A209" s="272">
        <f t="shared" si="12"/>
        <v>189</v>
      </c>
      <c r="B209" s="217">
        <f t="shared" si="15"/>
        <v>100.76470588235294</v>
      </c>
      <c r="C209" s="217">
        <f t="shared" si="15"/>
        <v>100.76470588235294</v>
      </c>
      <c r="D209" s="272">
        <f t="shared" si="11"/>
        <v>100.76470588235294</v>
      </c>
    </row>
    <row r="210" spans="1:4">
      <c r="A210" s="272">
        <f t="shared" si="12"/>
        <v>190</v>
      </c>
      <c r="B210" s="217">
        <f t="shared" si="15"/>
        <v>101.76470588235294</v>
      </c>
      <c r="C210" s="217">
        <f t="shared" si="15"/>
        <v>101.76470588235294</v>
      </c>
      <c r="D210" s="272">
        <f t="shared" si="11"/>
        <v>101.76470588235294</v>
      </c>
    </row>
    <row r="211" spans="1:4">
      <c r="A211" s="272">
        <f t="shared" si="12"/>
        <v>191</v>
      </c>
      <c r="B211" s="217">
        <f t="shared" si="15"/>
        <v>102.76470588235294</v>
      </c>
      <c r="C211" s="217">
        <f t="shared" si="15"/>
        <v>102.76470588235294</v>
      </c>
      <c r="D211" s="272">
        <f t="shared" si="11"/>
        <v>102.76470588235294</v>
      </c>
    </row>
    <row r="212" spans="1:4">
      <c r="A212" s="272">
        <f t="shared" si="12"/>
        <v>192</v>
      </c>
      <c r="B212" s="217">
        <f t="shared" si="15"/>
        <v>103.76470588235294</v>
      </c>
      <c r="C212" s="217">
        <f t="shared" si="15"/>
        <v>103.76470588235294</v>
      </c>
      <c r="D212" s="272">
        <f t="shared" ref="D212:D275" si="16">MAX(0,$A212/EXP($B$5*$B$11)-$B$9/EXP($B$7*$B$11))</f>
        <v>103.76470588235294</v>
      </c>
    </row>
    <row r="213" spans="1:4">
      <c r="A213" s="272">
        <f t="shared" ref="A213:A276" si="17">A212+0.01*$B$8</f>
        <v>193</v>
      </c>
      <c r="B213" s="217">
        <f t="shared" si="15"/>
        <v>104.76470588235294</v>
      </c>
      <c r="C213" s="217">
        <f t="shared" si="15"/>
        <v>104.76470588235294</v>
      </c>
      <c r="D213" s="272">
        <f t="shared" si="16"/>
        <v>104.76470588235294</v>
      </c>
    </row>
    <row r="214" spans="1:4">
      <c r="A214" s="272">
        <f t="shared" si="17"/>
        <v>194</v>
      </c>
      <c r="B214" s="217">
        <f t="shared" si="15"/>
        <v>105.76470588235294</v>
      </c>
      <c r="C214" s="217">
        <f t="shared" si="15"/>
        <v>105.76470588235294</v>
      </c>
      <c r="D214" s="272">
        <f t="shared" si="16"/>
        <v>105.76470588235294</v>
      </c>
    </row>
    <row r="215" spans="1:4">
      <c r="A215" s="272">
        <f t="shared" si="17"/>
        <v>195</v>
      </c>
      <c r="B215" s="217">
        <f t="shared" si="15"/>
        <v>106.76470588235294</v>
      </c>
      <c r="C215" s="217">
        <f t="shared" si="15"/>
        <v>106.76470588235294</v>
      </c>
      <c r="D215" s="272">
        <f t="shared" si="16"/>
        <v>106.76470588235294</v>
      </c>
    </row>
    <row r="216" spans="1:4">
      <c r="A216" s="272">
        <f t="shared" si="17"/>
        <v>196</v>
      </c>
      <c r="B216" s="217">
        <f t="shared" si="15"/>
        <v>107.76470588235294</v>
      </c>
      <c r="C216" s="217">
        <f t="shared" si="15"/>
        <v>107.76470588235294</v>
      </c>
      <c r="D216" s="272">
        <f t="shared" si="16"/>
        <v>107.76470588235294</v>
      </c>
    </row>
    <row r="217" spans="1:4">
      <c r="A217" s="272">
        <f t="shared" si="17"/>
        <v>197</v>
      </c>
      <c r="B217" s="217">
        <f t="shared" si="15"/>
        <v>108.76470588235294</v>
      </c>
      <c r="C217" s="217">
        <f t="shared" si="15"/>
        <v>108.76470588235294</v>
      </c>
      <c r="D217" s="272">
        <f t="shared" si="16"/>
        <v>108.76470588235294</v>
      </c>
    </row>
    <row r="218" spans="1:4">
      <c r="A218" s="272">
        <f t="shared" si="17"/>
        <v>198</v>
      </c>
      <c r="B218" s="217">
        <f t="shared" si="15"/>
        <v>109.76470588235294</v>
      </c>
      <c r="C218" s="217">
        <f t="shared" si="15"/>
        <v>109.76470588235294</v>
      </c>
      <c r="D218" s="272">
        <f t="shared" si="16"/>
        <v>109.76470588235294</v>
      </c>
    </row>
    <row r="219" spans="1:4">
      <c r="A219" s="272">
        <f t="shared" si="17"/>
        <v>199</v>
      </c>
      <c r="B219" s="217">
        <f t="shared" si="15"/>
        <v>110.76470588235294</v>
      </c>
      <c r="C219" s="217">
        <f t="shared" si="15"/>
        <v>110.76470588235294</v>
      </c>
      <c r="D219" s="272">
        <f t="shared" si="16"/>
        <v>110.76470588235294</v>
      </c>
    </row>
    <row r="220" spans="1:4">
      <c r="A220" s="272">
        <f t="shared" si="17"/>
        <v>200</v>
      </c>
      <c r="B220" s="217">
        <f t="shared" ref="B220:C239" si="18">IF($A220&lt;B$18,(B$17-B$9/EXP(B$7*B$11))*(($A220/EXP(B$5*B$11))/(B$17))^B$14,$A220/EXP($B$5*$B$11)-$B$9/EXP($B$7*$B$11))</f>
        <v>111.76470588235294</v>
      </c>
      <c r="C220" s="217">
        <f t="shared" si="18"/>
        <v>111.76470588235294</v>
      </c>
      <c r="D220" s="272">
        <f t="shared" si="16"/>
        <v>111.76470588235294</v>
      </c>
    </row>
    <row r="221" spans="1:4">
      <c r="A221" s="272">
        <f t="shared" si="17"/>
        <v>201</v>
      </c>
      <c r="B221" s="217">
        <f t="shared" si="18"/>
        <v>112.76470588235294</v>
      </c>
      <c r="C221" s="217">
        <f t="shared" si="18"/>
        <v>112.76470588235294</v>
      </c>
      <c r="D221" s="272">
        <f t="shared" si="16"/>
        <v>112.76470588235294</v>
      </c>
    </row>
    <row r="222" spans="1:4">
      <c r="A222" s="272">
        <f t="shared" si="17"/>
        <v>202</v>
      </c>
      <c r="B222" s="217">
        <f t="shared" si="18"/>
        <v>113.76470588235294</v>
      </c>
      <c r="C222" s="217">
        <f t="shared" si="18"/>
        <v>113.76470588235294</v>
      </c>
      <c r="D222" s="272">
        <f t="shared" si="16"/>
        <v>113.76470588235294</v>
      </c>
    </row>
    <row r="223" spans="1:4">
      <c r="A223" s="272">
        <f t="shared" si="17"/>
        <v>203</v>
      </c>
      <c r="B223" s="217">
        <f t="shared" si="18"/>
        <v>114.76470588235294</v>
      </c>
      <c r="C223" s="217">
        <f t="shared" si="18"/>
        <v>114.76470588235294</v>
      </c>
      <c r="D223" s="272">
        <f t="shared" si="16"/>
        <v>114.76470588235294</v>
      </c>
    </row>
    <row r="224" spans="1:4">
      <c r="A224" s="272">
        <f t="shared" si="17"/>
        <v>204</v>
      </c>
      <c r="B224" s="217">
        <f t="shared" si="18"/>
        <v>115.76470588235294</v>
      </c>
      <c r="C224" s="217">
        <f t="shared" si="18"/>
        <v>115.76470588235294</v>
      </c>
      <c r="D224" s="272">
        <f t="shared" si="16"/>
        <v>115.76470588235294</v>
      </c>
    </row>
    <row r="225" spans="1:4">
      <c r="A225" s="272">
        <f t="shared" si="17"/>
        <v>205</v>
      </c>
      <c r="B225" s="217">
        <f t="shared" si="18"/>
        <v>116.76470588235294</v>
      </c>
      <c r="C225" s="217">
        <f t="shared" si="18"/>
        <v>116.76470588235294</v>
      </c>
      <c r="D225" s="272">
        <f t="shared" si="16"/>
        <v>116.76470588235294</v>
      </c>
    </row>
    <row r="226" spans="1:4">
      <c r="A226" s="272">
        <f t="shared" si="17"/>
        <v>206</v>
      </c>
      <c r="B226" s="217">
        <f t="shared" si="18"/>
        <v>117.76470588235294</v>
      </c>
      <c r="C226" s="217">
        <f t="shared" si="18"/>
        <v>117.76470588235294</v>
      </c>
      <c r="D226" s="272">
        <f t="shared" si="16"/>
        <v>117.76470588235294</v>
      </c>
    </row>
    <row r="227" spans="1:4">
      <c r="A227" s="272">
        <f t="shared" si="17"/>
        <v>207</v>
      </c>
      <c r="B227" s="217">
        <f t="shared" si="18"/>
        <v>118.76470588235294</v>
      </c>
      <c r="C227" s="217">
        <f t="shared" si="18"/>
        <v>118.76470588235294</v>
      </c>
      <c r="D227" s="272">
        <f t="shared" si="16"/>
        <v>118.76470588235294</v>
      </c>
    </row>
    <row r="228" spans="1:4">
      <c r="A228" s="272">
        <f t="shared" si="17"/>
        <v>208</v>
      </c>
      <c r="B228" s="217">
        <f t="shared" si="18"/>
        <v>119.76470588235294</v>
      </c>
      <c r="C228" s="217">
        <f t="shared" si="18"/>
        <v>119.76470588235294</v>
      </c>
      <c r="D228" s="272">
        <f t="shared" si="16"/>
        <v>119.76470588235294</v>
      </c>
    </row>
    <row r="229" spans="1:4">
      <c r="A229" s="272">
        <f t="shared" si="17"/>
        <v>209</v>
      </c>
      <c r="B229" s="217">
        <f t="shared" si="18"/>
        <v>120.76470588235294</v>
      </c>
      <c r="C229" s="217">
        <f t="shared" si="18"/>
        <v>120.76470588235294</v>
      </c>
      <c r="D229" s="272">
        <f t="shared" si="16"/>
        <v>120.76470588235294</v>
      </c>
    </row>
    <row r="230" spans="1:4">
      <c r="A230" s="272">
        <f t="shared" si="17"/>
        <v>210</v>
      </c>
      <c r="B230" s="217">
        <f t="shared" si="18"/>
        <v>121.76470588235294</v>
      </c>
      <c r="C230" s="217">
        <f t="shared" si="18"/>
        <v>121.76470588235294</v>
      </c>
      <c r="D230" s="272">
        <f t="shared" si="16"/>
        <v>121.76470588235294</v>
      </c>
    </row>
    <row r="231" spans="1:4">
      <c r="A231" s="272">
        <f t="shared" si="17"/>
        <v>211</v>
      </c>
      <c r="B231" s="217">
        <f t="shared" si="18"/>
        <v>122.76470588235294</v>
      </c>
      <c r="C231" s="217">
        <f t="shared" si="18"/>
        <v>122.76470588235294</v>
      </c>
      <c r="D231" s="272">
        <f t="shared" si="16"/>
        <v>122.76470588235294</v>
      </c>
    </row>
    <row r="232" spans="1:4">
      <c r="A232" s="272">
        <f t="shared" si="17"/>
        <v>212</v>
      </c>
      <c r="B232" s="217">
        <f t="shared" si="18"/>
        <v>123.76470588235294</v>
      </c>
      <c r="C232" s="217">
        <f t="shared" si="18"/>
        <v>123.76470588235294</v>
      </c>
      <c r="D232" s="272">
        <f t="shared" si="16"/>
        <v>123.76470588235294</v>
      </c>
    </row>
    <row r="233" spans="1:4">
      <c r="A233" s="272">
        <f t="shared" si="17"/>
        <v>213</v>
      </c>
      <c r="B233" s="217">
        <f t="shared" si="18"/>
        <v>124.76470588235294</v>
      </c>
      <c r="C233" s="217">
        <f t="shared" si="18"/>
        <v>124.76470588235294</v>
      </c>
      <c r="D233" s="272">
        <f t="shared" si="16"/>
        <v>124.76470588235294</v>
      </c>
    </row>
    <row r="234" spans="1:4">
      <c r="A234" s="272">
        <f t="shared" si="17"/>
        <v>214</v>
      </c>
      <c r="B234" s="217">
        <f t="shared" si="18"/>
        <v>125.76470588235294</v>
      </c>
      <c r="C234" s="217">
        <f t="shared" si="18"/>
        <v>125.76470588235294</v>
      </c>
      <c r="D234" s="272">
        <f t="shared" si="16"/>
        <v>125.76470588235294</v>
      </c>
    </row>
    <row r="235" spans="1:4">
      <c r="A235" s="272">
        <f t="shared" si="17"/>
        <v>215</v>
      </c>
      <c r="B235" s="217">
        <f t="shared" si="18"/>
        <v>126.76470588235294</v>
      </c>
      <c r="C235" s="217">
        <f t="shared" si="18"/>
        <v>126.76470588235294</v>
      </c>
      <c r="D235" s="272">
        <f t="shared" si="16"/>
        <v>126.76470588235294</v>
      </c>
    </row>
    <row r="236" spans="1:4">
      <c r="A236" s="272">
        <f t="shared" si="17"/>
        <v>216</v>
      </c>
      <c r="B236" s="217">
        <f t="shared" si="18"/>
        <v>127.76470588235294</v>
      </c>
      <c r="C236" s="217">
        <f t="shared" si="18"/>
        <v>127.76470588235294</v>
      </c>
      <c r="D236" s="272">
        <f t="shared" si="16"/>
        <v>127.76470588235294</v>
      </c>
    </row>
    <row r="237" spans="1:4">
      <c r="A237" s="272">
        <f t="shared" si="17"/>
        <v>217</v>
      </c>
      <c r="B237" s="217">
        <f t="shared" si="18"/>
        <v>128.76470588235293</v>
      </c>
      <c r="C237" s="217">
        <f t="shared" si="18"/>
        <v>128.76470588235293</v>
      </c>
      <c r="D237" s="272">
        <f t="shared" si="16"/>
        <v>128.76470588235293</v>
      </c>
    </row>
    <row r="238" spans="1:4">
      <c r="A238" s="272">
        <f t="shared" si="17"/>
        <v>218</v>
      </c>
      <c r="B238" s="217">
        <f t="shared" si="18"/>
        <v>129.76470588235293</v>
      </c>
      <c r="C238" s="217">
        <f t="shared" si="18"/>
        <v>129.76470588235293</v>
      </c>
      <c r="D238" s="272">
        <f t="shared" si="16"/>
        <v>129.76470588235293</v>
      </c>
    </row>
    <row r="239" spans="1:4">
      <c r="A239" s="272">
        <f t="shared" si="17"/>
        <v>219</v>
      </c>
      <c r="B239" s="217">
        <f t="shared" si="18"/>
        <v>130.76470588235293</v>
      </c>
      <c r="C239" s="217">
        <f t="shared" si="18"/>
        <v>130.76470588235293</v>
      </c>
      <c r="D239" s="272">
        <f t="shared" si="16"/>
        <v>130.76470588235293</v>
      </c>
    </row>
    <row r="240" spans="1:4">
      <c r="A240" s="272">
        <f t="shared" si="17"/>
        <v>220</v>
      </c>
      <c r="B240" s="217">
        <f t="shared" ref="B240:C259" si="19">IF($A240&lt;B$18,(B$17-B$9/EXP(B$7*B$11))*(($A240/EXP(B$5*B$11))/(B$17))^B$14,$A240/EXP($B$5*$B$11)-$B$9/EXP($B$7*$B$11))</f>
        <v>131.76470588235293</v>
      </c>
      <c r="C240" s="217">
        <f t="shared" si="19"/>
        <v>131.76470588235293</v>
      </c>
      <c r="D240" s="272">
        <f t="shared" si="16"/>
        <v>131.76470588235293</v>
      </c>
    </row>
    <row r="241" spans="1:4">
      <c r="A241" s="272">
        <f t="shared" si="17"/>
        <v>221</v>
      </c>
      <c r="B241" s="217">
        <f t="shared" si="19"/>
        <v>132.76470588235293</v>
      </c>
      <c r="C241" s="217">
        <f t="shared" si="19"/>
        <v>132.76470588235293</v>
      </c>
      <c r="D241" s="272">
        <f t="shared" si="16"/>
        <v>132.76470588235293</v>
      </c>
    </row>
    <row r="242" spans="1:4">
      <c r="A242" s="272">
        <f t="shared" si="17"/>
        <v>222</v>
      </c>
      <c r="B242" s="217">
        <f t="shared" si="19"/>
        <v>133.76470588235293</v>
      </c>
      <c r="C242" s="217">
        <f t="shared" si="19"/>
        <v>133.76470588235293</v>
      </c>
      <c r="D242" s="272">
        <f t="shared" si="16"/>
        <v>133.76470588235293</v>
      </c>
    </row>
    <row r="243" spans="1:4">
      <c r="A243" s="272">
        <f t="shared" si="17"/>
        <v>223</v>
      </c>
      <c r="B243" s="217">
        <f t="shared" si="19"/>
        <v>134.76470588235293</v>
      </c>
      <c r="C243" s="217">
        <f t="shared" si="19"/>
        <v>134.76470588235293</v>
      </c>
      <c r="D243" s="272">
        <f t="shared" si="16"/>
        <v>134.76470588235293</v>
      </c>
    </row>
    <row r="244" spans="1:4">
      <c r="A244" s="272">
        <f t="shared" si="17"/>
        <v>224</v>
      </c>
      <c r="B244" s="217">
        <f t="shared" si="19"/>
        <v>135.76470588235293</v>
      </c>
      <c r="C244" s="217">
        <f t="shared" si="19"/>
        <v>135.76470588235293</v>
      </c>
      <c r="D244" s="272">
        <f t="shared" si="16"/>
        <v>135.76470588235293</v>
      </c>
    </row>
    <row r="245" spans="1:4">
      <c r="A245" s="272">
        <f t="shared" si="17"/>
        <v>225</v>
      </c>
      <c r="B245" s="217">
        <f t="shared" si="19"/>
        <v>136.76470588235293</v>
      </c>
      <c r="C245" s="217">
        <f t="shared" si="19"/>
        <v>136.76470588235293</v>
      </c>
      <c r="D245" s="272">
        <f t="shared" si="16"/>
        <v>136.76470588235293</v>
      </c>
    </row>
    <row r="246" spans="1:4">
      <c r="A246" s="272">
        <f t="shared" si="17"/>
        <v>226</v>
      </c>
      <c r="B246" s="217">
        <f t="shared" si="19"/>
        <v>137.76470588235293</v>
      </c>
      <c r="C246" s="217">
        <f t="shared" si="19"/>
        <v>137.76470588235293</v>
      </c>
      <c r="D246" s="272">
        <f t="shared" si="16"/>
        <v>137.76470588235293</v>
      </c>
    </row>
    <row r="247" spans="1:4">
      <c r="A247" s="272">
        <f t="shared" si="17"/>
        <v>227</v>
      </c>
      <c r="B247" s="217">
        <f t="shared" si="19"/>
        <v>138.76470588235293</v>
      </c>
      <c r="C247" s="217">
        <f t="shared" si="19"/>
        <v>138.76470588235293</v>
      </c>
      <c r="D247" s="272">
        <f t="shared" si="16"/>
        <v>138.76470588235293</v>
      </c>
    </row>
    <row r="248" spans="1:4">
      <c r="A248" s="272">
        <f t="shared" si="17"/>
        <v>228</v>
      </c>
      <c r="B248" s="217">
        <f t="shared" si="19"/>
        <v>139.76470588235293</v>
      </c>
      <c r="C248" s="217">
        <f t="shared" si="19"/>
        <v>139.76470588235293</v>
      </c>
      <c r="D248" s="272">
        <f t="shared" si="16"/>
        <v>139.76470588235293</v>
      </c>
    </row>
    <row r="249" spans="1:4">
      <c r="A249" s="272">
        <f t="shared" si="17"/>
        <v>229</v>
      </c>
      <c r="B249" s="217">
        <f t="shared" si="19"/>
        <v>140.76470588235293</v>
      </c>
      <c r="C249" s="217">
        <f t="shared" si="19"/>
        <v>140.76470588235293</v>
      </c>
      <c r="D249" s="272">
        <f t="shared" si="16"/>
        <v>140.76470588235293</v>
      </c>
    </row>
    <row r="250" spans="1:4">
      <c r="A250" s="272">
        <f t="shared" si="17"/>
        <v>230</v>
      </c>
      <c r="B250" s="217">
        <f t="shared" si="19"/>
        <v>141.76470588235293</v>
      </c>
      <c r="C250" s="217">
        <f t="shared" si="19"/>
        <v>141.76470588235293</v>
      </c>
      <c r="D250" s="272">
        <f t="shared" si="16"/>
        <v>141.76470588235293</v>
      </c>
    </row>
    <row r="251" spans="1:4">
      <c r="A251" s="272">
        <f t="shared" si="17"/>
        <v>231</v>
      </c>
      <c r="B251" s="217">
        <f t="shared" si="19"/>
        <v>142.76470588235293</v>
      </c>
      <c r="C251" s="217">
        <f t="shared" si="19"/>
        <v>142.76470588235293</v>
      </c>
      <c r="D251" s="272">
        <f t="shared" si="16"/>
        <v>142.76470588235293</v>
      </c>
    </row>
    <row r="252" spans="1:4">
      <c r="A252" s="272">
        <f t="shared" si="17"/>
        <v>232</v>
      </c>
      <c r="B252" s="217">
        <f t="shared" si="19"/>
        <v>143.76470588235293</v>
      </c>
      <c r="C252" s="217">
        <f t="shared" si="19"/>
        <v>143.76470588235293</v>
      </c>
      <c r="D252" s="272">
        <f t="shared" si="16"/>
        <v>143.76470588235293</v>
      </c>
    </row>
    <row r="253" spans="1:4">
      <c r="A253" s="272">
        <f t="shared" si="17"/>
        <v>233</v>
      </c>
      <c r="B253" s="217">
        <f t="shared" si="19"/>
        <v>144.76470588235293</v>
      </c>
      <c r="C253" s="217">
        <f t="shared" si="19"/>
        <v>144.76470588235293</v>
      </c>
      <c r="D253" s="272">
        <f t="shared" si="16"/>
        <v>144.76470588235293</v>
      </c>
    </row>
    <row r="254" spans="1:4">
      <c r="A254" s="272">
        <f t="shared" si="17"/>
        <v>234</v>
      </c>
      <c r="B254" s="217">
        <f t="shared" si="19"/>
        <v>145.76470588235293</v>
      </c>
      <c r="C254" s="217">
        <f t="shared" si="19"/>
        <v>145.76470588235293</v>
      </c>
      <c r="D254" s="272">
        <f t="shared" si="16"/>
        <v>145.76470588235293</v>
      </c>
    </row>
    <row r="255" spans="1:4">
      <c r="A255" s="272">
        <f t="shared" si="17"/>
        <v>235</v>
      </c>
      <c r="B255" s="217">
        <f t="shared" si="19"/>
        <v>146.76470588235293</v>
      </c>
      <c r="C255" s="217">
        <f t="shared" si="19"/>
        <v>146.76470588235293</v>
      </c>
      <c r="D255" s="272">
        <f t="shared" si="16"/>
        <v>146.76470588235293</v>
      </c>
    </row>
    <row r="256" spans="1:4">
      <c r="A256" s="272">
        <f t="shared" si="17"/>
        <v>236</v>
      </c>
      <c r="B256" s="217">
        <f t="shared" si="19"/>
        <v>147.76470588235293</v>
      </c>
      <c r="C256" s="217">
        <f t="shared" si="19"/>
        <v>147.76470588235293</v>
      </c>
      <c r="D256" s="272">
        <f t="shared" si="16"/>
        <v>147.76470588235293</v>
      </c>
    </row>
    <row r="257" spans="1:4">
      <c r="A257" s="272">
        <f t="shared" si="17"/>
        <v>237</v>
      </c>
      <c r="B257" s="217">
        <f t="shared" si="19"/>
        <v>148.76470588235293</v>
      </c>
      <c r="C257" s="217">
        <f t="shared" si="19"/>
        <v>148.76470588235293</v>
      </c>
      <c r="D257" s="272">
        <f t="shared" si="16"/>
        <v>148.76470588235293</v>
      </c>
    </row>
    <row r="258" spans="1:4">
      <c r="A258" s="272">
        <f t="shared" si="17"/>
        <v>238</v>
      </c>
      <c r="B258" s="217">
        <f t="shared" si="19"/>
        <v>149.76470588235293</v>
      </c>
      <c r="C258" s="217">
        <f t="shared" si="19"/>
        <v>149.76470588235293</v>
      </c>
      <c r="D258" s="272">
        <f t="shared" si="16"/>
        <v>149.76470588235293</v>
      </c>
    </row>
    <row r="259" spans="1:4">
      <c r="A259" s="272">
        <f t="shared" si="17"/>
        <v>239</v>
      </c>
      <c r="B259" s="217">
        <f t="shared" si="19"/>
        <v>150.76470588235293</v>
      </c>
      <c r="C259" s="217">
        <f t="shared" si="19"/>
        <v>150.76470588235293</v>
      </c>
      <c r="D259" s="272">
        <f t="shared" si="16"/>
        <v>150.76470588235293</v>
      </c>
    </row>
    <row r="260" spans="1:4">
      <c r="A260" s="272">
        <f t="shared" si="17"/>
        <v>240</v>
      </c>
      <c r="B260" s="217">
        <f t="shared" ref="B260:C279" si="20">IF($A260&lt;B$18,(B$17-B$9/EXP(B$7*B$11))*(($A260/EXP(B$5*B$11))/(B$17))^B$14,$A260/EXP($B$5*$B$11)-$B$9/EXP($B$7*$B$11))</f>
        <v>151.76470588235293</v>
      </c>
      <c r="C260" s="217">
        <f t="shared" si="20"/>
        <v>151.76470588235293</v>
      </c>
      <c r="D260" s="272">
        <f t="shared" si="16"/>
        <v>151.76470588235293</v>
      </c>
    </row>
    <row r="261" spans="1:4">
      <c r="A261" s="272">
        <f t="shared" si="17"/>
        <v>241</v>
      </c>
      <c r="B261" s="217">
        <f t="shared" si="20"/>
        <v>152.76470588235293</v>
      </c>
      <c r="C261" s="217">
        <f t="shared" si="20"/>
        <v>152.76470588235293</v>
      </c>
      <c r="D261" s="272">
        <f t="shared" si="16"/>
        <v>152.76470588235293</v>
      </c>
    </row>
    <row r="262" spans="1:4">
      <c r="A262" s="272">
        <f t="shared" si="17"/>
        <v>242</v>
      </c>
      <c r="B262" s="217">
        <f t="shared" si="20"/>
        <v>153.76470588235293</v>
      </c>
      <c r="C262" s="217">
        <f t="shared" si="20"/>
        <v>153.76470588235293</v>
      </c>
      <c r="D262" s="272">
        <f t="shared" si="16"/>
        <v>153.76470588235293</v>
      </c>
    </row>
    <row r="263" spans="1:4">
      <c r="A263" s="272">
        <f t="shared" si="17"/>
        <v>243</v>
      </c>
      <c r="B263" s="217">
        <f t="shared" si="20"/>
        <v>154.76470588235293</v>
      </c>
      <c r="C263" s="217">
        <f t="shared" si="20"/>
        <v>154.76470588235293</v>
      </c>
      <c r="D263" s="272">
        <f t="shared" si="16"/>
        <v>154.76470588235293</v>
      </c>
    </row>
    <row r="264" spans="1:4">
      <c r="A264" s="272">
        <f t="shared" si="17"/>
        <v>244</v>
      </c>
      <c r="B264" s="217">
        <f t="shared" si="20"/>
        <v>155.76470588235293</v>
      </c>
      <c r="C264" s="217">
        <f t="shared" si="20"/>
        <v>155.76470588235293</v>
      </c>
      <c r="D264" s="272">
        <f t="shared" si="16"/>
        <v>155.76470588235293</v>
      </c>
    </row>
    <row r="265" spans="1:4">
      <c r="A265" s="272">
        <f t="shared" si="17"/>
        <v>245</v>
      </c>
      <c r="B265" s="217">
        <f t="shared" si="20"/>
        <v>156.76470588235293</v>
      </c>
      <c r="C265" s="217">
        <f t="shared" si="20"/>
        <v>156.76470588235293</v>
      </c>
      <c r="D265" s="272">
        <f t="shared" si="16"/>
        <v>156.76470588235293</v>
      </c>
    </row>
    <row r="266" spans="1:4">
      <c r="A266" s="272">
        <f t="shared" si="17"/>
        <v>246</v>
      </c>
      <c r="B266" s="217">
        <f t="shared" si="20"/>
        <v>157.76470588235293</v>
      </c>
      <c r="C266" s="217">
        <f t="shared" si="20"/>
        <v>157.76470588235293</v>
      </c>
      <c r="D266" s="272">
        <f t="shared" si="16"/>
        <v>157.76470588235293</v>
      </c>
    </row>
    <row r="267" spans="1:4">
      <c r="A267" s="272">
        <f t="shared" si="17"/>
        <v>247</v>
      </c>
      <c r="B267" s="217">
        <f t="shared" si="20"/>
        <v>158.76470588235293</v>
      </c>
      <c r="C267" s="217">
        <f t="shared" si="20"/>
        <v>158.76470588235293</v>
      </c>
      <c r="D267" s="272">
        <f t="shared" si="16"/>
        <v>158.76470588235293</v>
      </c>
    </row>
    <row r="268" spans="1:4">
      <c r="A268" s="272">
        <f t="shared" si="17"/>
        <v>248</v>
      </c>
      <c r="B268" s="217">
        <f t="shared" si="20"/>
        <v>159.76470588235293</v>
      </c>
      <c r="C268" s="217">
        <f t="shared" si="20"/>
        <v>159.76470588235293</v>
      </c>
      <c r="D268" s="272">
        <f t="shared" si="16"/>
        <v>159.76470588235293</v>
      </c>
    </row>
    <row r="269" spans="1:4">
      <c r="A269" s="272">
        <f t="shared" si="17"/>
        <v>249</v>
      </c>
      <c r="B269" s="217">
        <f t="shared" si="20"/>
        <v>160.76470588235293</v>
      </c>
      <c r="C269" s="217">
        <f t="shared" si="20"/>
        <v>160.76470588235293</v>
      </c>
      <c r="D269" s="272">
        <f t="shared" si="16"/>
        <v>160.76470588235293</v>
      </c>
    </row>
    <row r="270" spans="1:4">
      <c r="A270" s="272">
        <f t="shared" si="17"/>
        <v>250</v>
      </c>
      <c r="B270" s="217">
        <f t="shared" si="20"/>
        <v>161.76470588235293</v>
      </c>
      <c r="C270" s="217">
        <f t="shared" si="20"/>
        <v>161.76470588235293</v>
      </c>
      <c r="D270" s="272">
        <f t="shared" si="16"/>
        <v>161.76470588235293</v>
      </c>
    </row>
    <row r="271" spans="1:4">
      <c r="A271" s="272">
        <f t="shared" si="17"/>
        <v>251</v>
      </c>
      <c r="B271" s="217">
        <f t="shared" si="20"/>
        <v>162.76470588235293</v>
      </c>
      <c r="C271" s="217">
        <f t="shared" si="20"/>
        <v>162.76470588235293</v>
      </c>
      <c r="D271" s="272">
        <f t="shared" si="16"/>
        <v>162.76470588235293</v>
      </c>
    </row>
    <row r="272" spans="1:4">
      <c r="A272" s="272">
        <f t="shared" si="17"/>
        <v>252</v>
      </c>
      <c r="B272" s="217">
        <f t="shared" si="20"/>
        <v>163.76470588235293</v>
      </c>
      <c r="C272" s="217">
        <f t="shared" si="20"/>
        <v>163.76470588235293</v>
      </c>
      <c r="D272" s="272">
        <f t="shared" si="16"/>
        <v>163.76470588235293</v>
      </c>
    </row>
    <row r="273" spans="1:4">
      <c r="A273" s="272">
        <f t="shared" si="17"/>
        <v>253</v>
      </c>
      <c r="B273" s="217">
        <f t="shared" si="20"/>
        <v>164.76470588235293</v>
      </c>
      <c r="C273" s="217">
        <f t="shared" si="20"/>
        <v>164.76470588235293</v>
      </c>
      <c r="D273" s="272">
        <f t="shared" si="16"/>
        <v>164.76470588235293</v>
      </c>
    </row>
    <row r="274" spans="1:4">
      <c r="A274" s="272">
        <f t="shared" si="17"/>
        <v>254</v>
      </c>
      <c r="B274" s="217">
        <f t="shared" si="20"/>
        <v>165.76470588235293</v>
      </c>
      <c r="C274" s="217">
        <f t="shared" si="20"/>
        <v>165.76470588235293</v>
      </c>
      <c r="D274" s="272">
        <f t="shared" si="16"/>
        <v>165.76470588235293</v>
      </c>
    </row>
    <row r="275" spans="1:4">
      <c r="A275" s="272">
        <f t="shared" si="17"/>
        <v>255</v>
      </c>
      <c r="B275" s="217">
        <f t="shared" si="20"/>
        <v>166.76470588235293</v>
      </c>
      <c r="C275" s="217">
        <f t="shared" si="20"/>
        <v>166.76470588235293</v>
      </c>
      <c r="D275" s="272">
        <f t="shared" si="16"/>
        <v>166.76470588235293</v>
      </c>
    </row>
    <row r="276" spans="1:4">
      <c r="A276" s="272">
        <f t="shared" si="17"/>
        <v>256</v>
      </c>
      <c r="B276" s="217">
        <f t="shared" si="20"/>
        <v>167.76470588235293</v>
      </c>
      <c r="C276" s="217">
        <f t="shared" si="20"/>
        <v>167.76470588235293</v>
      </c>
      <c r="D276" s="272">
        <f t="shared" ref="D276:D320" si="21">MAX(0,$A276/EXP($B$5*$B$11)-$B$9/EXP($B$7*$B$11))</f>
        <v>167.76470588235293</v>
      </c>
    </row>
    <row r="277" spans="1:4">
      <c r="A277" s="272">
        <f t="shared" ref="A277:A320" si="22">A276+0.01*$B$8</f>
        <v>257</v>
      </c>
      <c r="B277" s="217">
        <f t="shared" si="20"/>
        <v>168.76470588235293</v>
      </c>
      <c r="C277" s="217">
        <f t="shared" si="20"/>
        <v>168.76470588235293</v>
      </c>
      <c r="D277" s="272">
        <f t="shared" si="21"/>
        <v>168.76470588235293</v>
      </c>
    </row>
    <row r="278" spans="1:4">
      <c r="A278" s="272">
        <f t="shared" si="22"/>
        <v>258</v>
      </c>
      <c r="B278" s="217">
        <f t="shared" si="20"/>
        <v>169.76470588235293</v>
      </c>
      <c r="C278" s="217">
        <f t="shared" si="20"/>
        <v>169.76470588235293</v>
      </c>
      <c r="D278" s="272">
        <f t="shared" si="21"/>
        <v>169.76470588235293</v>
      </c>
    </row>
    <row r="279" spans="1:4">
      <c r="A279" s="272">
        <f t="shared" si="22"/>
        <v>259</v>
      </c>
      <c r="B279" s="217">
        <f t="shared" si="20"/>
        <v>170.76470588235293</v>
      </c>
      <c r="C279" s="217">
        <f t="shared" si="20"/>
        <v>170.76470588235293</v>
      </c>
      <c r="D279" s="272">
        <f t="shared" si="21"/>
        <v>170.76470588235293</v>
      </c>
    </row>
    <row r="280" spans="1:4">
      <c r="A280" s="272">
        <f t="shared" si="22"/>
        <v>260</v>
      </c>
      <c r="B280" s="217">
        <f t="shared" ref="B280:C299" si="23">IF($A280&lt;B$18,(B$17-B$9/EXP(B$7*B$11))*(($A280/EXP(B$5*B$11))/(B$17))^B$14,$A280/EXP($B$5*$B$11)-$B$9/EXP($B$7*$B$11))</f>
        <v>171.76470588235293</v>
      </c>
      <c r="C280" s="217">
        <f t="shared" si="23"/>
        <v>171.76470588235293</v>
      </c>
      <c r="D280" s="272">
        <f t="shared" si="21"/>
        <v>171.76470588235293</v>
      </c>
    </row>
    <row r="281" spans="1:4">
      <c r="A281" s="272">
        <f t="shared" si="22"/>
        <v>261</v>
      </c>
      <c r="B281" s="217">
        <f t="shared" si="23"/>
        <v>172.76470588235293</v>
      </c>
      <c r="C281" s="217">
        <f t="shared" si="23"/>
        <v>172.76470588235293</v>
      </c>
      <c r="D281" s="272">
        <f t="shared" si="21"/>
        <v>172.76470588235293</v>
      </c>
    </row>
    <row r="282" spans="1:4">
      <c r="A282" s="272">
        <f t="shared" si="22"/>
        <v>262</v>
      </c>
      <c r="B282" s="217">
        <f t="shared" si="23"/>
        <v>173.76470588235293</v>
      </c>
      <c r="C282" s="217">
        <f t="shared" si="23"/>
        <v>173.76470588235293</v>
      </c>
      <c r="D282" s="272">
        <f t="shared" si="21"/>
        <v>173.76470588235293</v>
      </c>
    </row>
    <row r="283" spans="1:4">
      <c r="A283" s="272">
        <f t="shared" si="22"/>
        <v>263</v>
      </c>
      <c r="B283" s="217">
        <f t="shared" si="23"/>
        <v>174.76470588235293</v>
      </c>
      <c r="C283" s="217">
        <f t="shared" si="23"/>
        <v>174.76470588235293</v>
      </c>
      <c r="D283" s="272">
        <f t="shared" si="21"/>
        <v>174.76470588235293</v>
      </c>
    </row>
    <row r="284" spans="1:4">
      <c r="A284" s="272">
        <f t="shared" si="22"/>
        <v>264</v>
      </c>
      <c r="B284" s="217">
        <f t="shared" si="23"/>
        <v>175.76470588235293</v>
      </c>
      <c r="C284" s="217">
        <f t="shared" si="23"/>
        <v>175.76470588235293</v>
      </c>
      <c r="D284" s="272">
        <f t="shared" si="21"/>
        <v>175.76470588235293</v>
      </c>
    </row>
    <row r="285" spans="1:4">
      <c r="A285" s="272">
        <f t="shared" si="22"/>
        <v>265</v>
      </c>
      <c r="B285" s="217">
        <f t="shared" si="23"/>
        <v>176.76470588235293</v>
      </c>
      <c r="C285" s="217">
        <f t="shared" si="23"/>
        <v>176.76470588235293</v>
      </c>
      <c r="D285" s="272">
        <f t="shared" si="21"/>
        <v>176.76470588235293</v>
      </c>
    </row>
    <row r="286" spans="1:4">
      <c r="A286" s="272">
        <f t="shared" si="22"/>
        <v>266</v>
      </c>
      <c r="B286" s="217">
        <f t="shared" si="23"/>
        <v>177.76470588235293</v>
      </c>
      <c r="C286" s="217">
        <f t="shared" si="23"/>
        <v>177.76470588235293</v>
      </c>
      <c r="D286" s="272">
        <f t="shared" si="21"/>
        <v>177.76470588235293</v>
      </c>
    </row>
    <row r="287" spans="1:4">
      <c r="A287" s="272">
        <f t="shared" si="22"/>
        <v>267</v>
      </c>
      <c r="B287" s="217">
        <f t="shared" si="23"/>
        <v>178.76470588235293</v>
      </c>
      <c r="C287" s="217">
        <f t="shared" si="23"/>
        <v>178.76470588235293</v>
      </c>
      <c r="D287" s="272">
        <f t="shared" si="21"/>
        <v>178.76470588235293</v>
      </c>
    </row>
    <row r="288" spans="1:4">
      <c r="A288" s="272">
        <f t="shared" si="22"/>
        <v>268</v>
      </c>
      <c r="B288" s="217">
        <f t="shared" si="23"/>
        <v>179.76470588235293</v>
      </c>
      <c r="C288" s="217">
        <f t="shared" si="23"/>
        <v>179.76470588235293</v>
      </c>
      <c r="D288" s="272">
        <f t="shared" si="21"/>
        <v>179.76470588235293</v>
      </c>
    </row>
    <row r="289" spans="1:4">
      <c r="A289" s="272">
        <f t="shared" si="22"/>
        <v>269</v>
      </c>
      <c r="B289" s="217">
        <f t="shared" si="23"/>
        <v>180.76470588235293</v>
      </c>
      <c r="C289" s="217">
        <f t="shared" si="23"/>
        <v>180.76470588235293</v>
      </c>
      <c r="D289" s="272">
        <f t="shared" si="21"/>
        <v>180.76470588235293</v>
      </c>
    </row>
    <row r="290" spans="1:4">
      <c r="A290" s="272">
        <f t="shared" si="22"/>
        <v>270</v>
      </c>
      <c r="B290" s="217">
        <f t="shared" si="23"/>
        <v>181.76470588235293</v>
      </c>
      <c r="C290" s="217">
        <f t="shared" si="23"/>
        <v>181.76470588235293</v>
      </c>
      <c r="D290" s="272">
        <f t="shared" si="21"/>
        <v>181.76470588235293</v>
      </c>
    </row>
    <row r="291" spans="1:4">
      <c r="A291" s="272">
        <f t="shared" si="22"/>
        <v>271</v>
      </c>
      <c r="B291" s="217">
        <f t="shared" si="23"/>
        <v>182.76470588235293</v>
      </c>
      <c r="C291" s="217">
        <f t="shared" si="23"/>
        <v>182.76470588235293</v>
      </c>
      <c r="D291" s="272">
        <f t="shared" si="21"/>
        <v>182.76470588235293</v>
      </c>
    </row>
    <row r="292" spans="1:4">
      <c r="A292" s="272">
        <f t="shared" si="22"/>
        <v>272</v>
      </c>
      <c r="B292" s="217">
        <f t="shared" si="23"/>
        <v>183.76470588235293</v>
      </c>
      <c r="C292" s="217">
        <f t="shared" si="23"/>
        <v>183.76470588235293</v>
      </c>
      <c r="D292" s="272">
        <f t="shared" si="21"/>
        <v>183.76470588235293</v>
      </c>
    </row>
    <row r="293" spans="1:4">
      <c r="A293" s="272">
        <f t="shared" si="22"/>
        <v>273</v>
      </c>
      <c r="B293" s="217">
        <f t="shared" si="23"/>
        <v>184.76470588235293</v>
      </c>
      <c r="C293" s="217">
        <f t="shared" si="23"/>
        <v>184.76470588235293</v>
      </c>
      <c r="D293" s="272">
        <f t="shared" si="21"/>
        <v>184.76470588235293</v>
      </c>
    </row>
    <row r="294" spans="1:4">
      <c r="A294" s="272">
        <f t="shared" si="22"/>
        <v>274</v>
      </c>
      <c r="B294" s="217">
        <f t="shared" si="23"/>
        <v>185.76470588235293</v>
      </c>
      <c r="C294" s="217">
        <f t="shared" si="23"/>
        <v>185.76470588235293</v>
      </c>
      <c r="D294" s="272">
        <f t="shared" si="21"/>
        <v>185.76470588235293</v>
      </c>
    </row>
    <row r="295" spans="1:4">
      <c r="A295" s="272">
        <f t="shared" si="22"/>
        <v>275</v>
      </c>
      <c r="B295" s="217">
        <f t="shared" si="23"/>
        <v>186.76470588235293</v>
      </c>
      <c r="C295" s="217">
        <f t="shared" si="23"/>
        <v>186.76470588235293</v>
      </c>
      <c r="D295" s="272">
        <f t="shared" si="21"/>
        <v>186.76470588235293</v>
      </c>
    </row>
    <row r="296" spans="1:4">
      <c r="A296" s="272">
        <f t="shared" si="22"/>
        <v>276</v>
      </c>
      <c r="B296" s="217">
        <f t="shared" si="23"/>
        <v>187.76470588235293</v>
      </c>
      <c r="C296" s="217">
        <f t="shared" si="23"/>
        <v>187.76470588235293</v>
      </c>
      <c r="D296" s="272">
        <f t="shared" si="21"/>
        <v>187.76470588235293</v>
      </c>
    </row>
    <row r="297" spans="1:4">
      <c r="A297" s="272">
        <f t="shared" si="22"/>
        <v>277</v>
      </c>
      <c r="B297" s="217">
        <f t="shared" si="23"/>
        <v>188.76470588235293</v>
      </c>
      <c r="C297" s="217">
        <f t="shared" si="23"/>
        <v>188.76470588235293</v>
      </c>
      <c r="D297" s="272">
        <f t="shared" si="21"/>
        <v>188.76470588235293</v>
      </c>
    </row>
    <row r="298" spans="1:4">
      <c r="A298" s="272">
        <f t="shared" si="22"/>
        <v>278</v>
      </c>
      <c r="B298" s="217">
        <f t="shared" si="23"/>
        <v>189.76470588235293</v>
      </c>
      <c r="C298" s="217">
        <f t="shared" si="23"/>
        <v>189.76470588235293</v>
      </c>
      <c r="D298" s="272">
        <f t="shared" si="21"/>
        <v>189.76470588235293</v>
      </c>
    </row>
    <row r="299" spans="1:4">
      <c r="A299" s="272">
        <f t="shared" si="22"/>
        <v>279</v>
      </c>
      <c r="B299" s="217">
        <f t="shared" si="23"/>
        <v>190.76470588235293</v>
      </c>
      <c r="C299" s="217">
        <f t="shared" si="23"/>
        <v>190.76470588235293</v>
      </c>
      <c r="D299" s="272">
        <f t="shared" si="21"/>
        <v>190.76470588235293</v>
      </c>
    </row>
    <row r="300" spans="1:4">
      <c r="A300" s="272">
        <f t="shared" si="22"/>
        <v>280</v>
      </c>
      <c r="B300" s="217">
        <f t="shared" ref="B300:C320" si="24">IF($A300&lt;B$18,(B$17-B$9/EXP(B$7*B$11))*(($A300/EXP(B$5*B$11))/(B$17))^B$14,$A300/EXP($B$5*$B$11)-$B$9/EXP($B$7*$B$11))</f>
        <v>191.76470588235293</v>
      </c>
      <c r="C300" s="217">
        <f t="shared" si="24"/>
        <v>191.76470588235293</v>
      </c>
      <c r="D300" s="272">
        <f t="shared" si="21"/>
        <v>191.76470588235293</v>
      </c>
    </row>
    <row r="301" spans="1:4">
      <c r="A301" s="272">
        <f t="shared" si="22"/>
        <v>281</v>
      </c>
      <c r="B301" s="217">
        <f t="shared" si="24"/>
        <v>192.76470588235293</v>
      </c>
      <c r="C301" s="217">
        <f t="shared" si="24"/>
        <v>192.76470588235293</v>
      </c>
      <c r="D301" s="272">
        <f t="shared" si="21"/>
        <v>192.76470588235293</v>
      </c>
    </row>
    <row r="302" spans="1:4">
      <c r="A302" s="272">
        <f t="shared" si="22"/>
        <v>282</v>
      </c>
      <c r="B302" s="217">
        <f t="shared" si="24"/>
        <v>193.76470588235293</v>
      </c>
      <c r="C302" s="217">
        <f t="shared" si="24"/>
        <v>193.76470588235293</v>
      </c>
      <c r="D302" s="272">
        <f t="shared" si="21"/>
        <v>193.76470588235293</v>
      </c>
    </row>
    <row r="303" spans="1:4">
      <c r="A303" s="272">
        <f t="shared" si="22"/>
        <v>283</v>
      </c>
      <c r="B303" s="217">
        <f t="shared" si="24"/>
        <v>194.76470588235293</v>
      </c>
      <c r="C303" s="217">
        <f t="shared" si="24"/>
        <v>194.76470588235293</v>
      </c>
      <c r="D303" s="272">
        <f t="shared" si="21"/>
        <v>194.76470588235293</v>
      </c>
    </row>
    <row r="304" spans="1:4">
      <c r="A304" s="272">
        <f t="shared" si="22"/>
        <v>284</v>
      </c>
      <c r="B304" s="217">
        <f t="shared" si="24"/>
        <v>195.76470588235293</v>
      </c>
      <c r="C304" s="217">
        <f t="shared" si="24"/>
        <v>195.76470588235293</v>
      </c>
      <c r="D304" s="272">
        <f t="shared" si="21"/>
        <v>195.76470588235293</v>
      </c>
    </row>
    <row r="305" spans="1:4">
      <c r="A305" s="272">
        <f t="shared" si="22"/>
        <v>285</v>
      </c>
      <c r="B305" s="217">
        <f t="shared" si="24"/>
        <v>196.76470588235293</v>
      </c>
      <c r="C305" s="217">
        <f t="shared" si="24"/>
        <v>196.76470588235293</v>
      </c>
      <c r="D305" s="272">
        <f t="shared" si="21"/>
        <v>196.76470588235293</v>
      </c>
    </row>
    <row r="306" spans="1:4">
      <c r="A306" s="272">
        <f t="shared" si="22"/>
        <v>286</v>
      </c>
      <c r="B306" s="217">
        <f t="shared" si="24"/>
        <v>197.76470588235293</v>
      </c>
      <c r="C306" s="217">
        <f t="shared" si="24"/>
        <v>197.76470588235293</v>
      </c>
      <c r="D306" s="272">
        <f t="shared" si="21"/>
        <v>197.76470588235293</v>
      </c>
    </row>
    <row r="307" spans="1:4">
      <c r="A307" s="272">
        <f t="shared" si="22"/>
        <v>287</v>
      </c>
      <c r="B307" s="217">
        <f t="shared" si="24"/>
        <v>198.76470588235293</v>
      </c>
      <c r="C307" s="217">
        <f t="shared" si="24"/>
        <v>198.76470588235293</v>
      </c>
      <c r="D307" s="272">
        <f t="shared" si="21"/>
        <v>198.76470588235293</v>
      </c>
    </row>
    <row r="308" spans="1:4">
      <c r="A308" s="272">
        <f t="shared" si="22"/>
        <v>288</v>
      </c>
      <c r="B308" s="217">
        <f t="shared" si="24"/>
        <v>199.76470588235293</v>
      </c>
      <c r="C308" s="217">
        <f t="shared" si="24"/>
        <v>199.76470588235293</v>
      </c>
      <c r="D308" s="272">
        <f t="shared" si="21"/>
        <v>199.76470588235293</v>
      </c>
    </row>
    <row r="309" spans="1:4">
      <c r="A309" s="272">
        <f t="shared" si="22"/>
        <v>289</v>
      </c>
      <c r="B309" s="217">
        <f t="shared" si="24"/>
        <v>200.76470588235293</v>
      </c>
      <c r="C309" s="217">
        <f t="shared" si="24"/>
        <v>200.76470588235293</v>
      </c>
      <c r="D309" s="272">
        <f t="shared" si="21"/>
        <v>200.76470588235293</v>
      </c>
    </row>
    <row r="310" spans="1:4">
      <c r="A310" s="272">
        <f t="shared" si="22"/>
        <v>290</v>
      </c>
      <c r="B310" s="217">
        <f t="shared" si="24"/>
        <v>201.76470588235293</v>
      </c>
      <c r="C310" s="217">
        <f t="shared" si="24"/>
        <v>201.76470588235293</v>
      </c>
      <c r="D310" s="272">
        <f t="shared" si="21"/>
        <v>201.76470588235293</v>
      </c>
    </row>
    <row r="311" spans="1:4">
      <c r="A311" s="272">
        <f t="shared" si="22"/>
        <v>291</v>
      </c>
      <c r="B311" s="217">
        <f t="shared" si="24"/>
        <v>202.76470588235293</v>
      </c>
      <c r="C311" s="217">
        <f t="shared" si="24"/>
        <v>202.76470588235293</v>
      </c>
      <c r="D311" s="272">
        <f t="shared" si="21"/>
        <v>202.76470588235293</v>
      </c>
    </row>
    <row r="312" spans="1:4">
      <c r="A312" s="272">
        <f t="shared" si="22"/>
        <v>292</v>
      </c>
      <c r="B312" s="217">
        <f t="shared" si="24"/>
        <v>203.76470588235293</v>
      </c>
      <c r="C312" s="217">
        <f t="shared" si="24"/>
        <v>203.76470588235293</v>
      </c>
      <c r="D312" s="272">
        <f t="shared" si="21"/>
        <v>203.76470588235293</v>
      </c>
    </row>
    <row r="313" spans="1:4">
      <c r="A313" s="272">
        <f t="shared" si="22"/>
        <v>293</v>
      </c>
      <c r="B313" s="217">
        <f t="shared" si="24"/>
        <v>204.76470588235293</v>
      </c>
      <c r="C313" s="217">
        <f t="shared" si="24"/>
        <v>204.76470588235293</v>
      </c>
      <c r="D313" s="272">
        <f t="shared" si="21"/>
        <v>204.76470588235293</v>
      </c>
    </row>
    <row r="314" spans="1:4">
      <c r="A314" s="272">
        <f t="shared" si="22"/>
        <v>294</v>
      </c>
      <c r="B314" s="217">
        <f t="shared" si="24"/>
        <v>205.76470588235293</v>
      </c>
      <c r="C314" s="217">
        <f t="shared" si="24"/>
        <v>205.76470588235293</v>
      </c>
      <c r="D314" s="272">
        <f t="shared" si="21"/>
        <v>205.76470588235293</v>
      </c>
    </row>
    <row r="315" spans="1:4">
      <c r="A315" s="272">
        <f t="shared" si="22"/>
        <v>295</v>
      </c>
      <c r="B315" s="217">
        <f t="shared" si="24"/>
        <v>206.76470588235293</v>
      </c>
      <c r="C315" s="217">
        <f t="shared" si="24"/>
        <v>206.76470588235293</v>
      </c>
      <c r="D315" s="272">
        <f t="shared" si="21"/>
        <v>206.76470588235293</v>
      </c>
    </row>
    <row r="316" spans="1:4">
      <c r="A316" s="272">
        <f t="shared" si="22"/>
        <v>296</v>
      </c>
      <c r="B316" s="217">
        <f t="shared" si="24"/>
        <v>207.76470588235293</v>
      </c>
      <c r="C316" s="217">
        <f t="shared" si="24"/>
        <v>207.76470588235293</v>
      </c>
      <c r="D316" s="272">
        <f t="shared" si="21"/>
        <v>207.76470588235293</v>
      </c>
    </row>
    <row r="317" spans="1:4">
      <c r="A317" s="272">
        <f t="shared" si="22"/>
        <v>297</v>
      </c>
      <c r="B317" s="217">
        <f t="shared" si="24"/>
        <v>208.76470588235293</v>
      </c>
      <c r="C317" s="217">
        <f t="shared" si="24"/>
        <v>208.76470588235293</v>
      </c>
      <c r="D317" s="272">
        <f t="shared" si="21"/>
        <v>208.76470588235293</v>
      </c>
    </row>
    <row r="318" spans="1:4">
      <c r="A318" s="272">
        <f t="shared" si="22"/>
        <v>298</v>
      </c>
      <c r="B318" s="217">
        <f t="shared" si="24"/>
        <v>209.76470588235293</v>
      </c>
      <c r="C318" s="217">
        <f t="shared" si="24"/>
        <v>209.76470588235293</v>
      </c>
      <c r="D318" s="272">
        <f t="shared" si="21"/>
        <v>209.76470588235293</v>
      </c>
    </row>
    <row r="319" spans="1:4">
      <c r="A319" s="272">
        <f t="shared" si="22"/>
        <v>299</v>
      </c>
      <c r="B319" s="217">
        <f t="shared" si="24"/>
        <v>210.76470588235293</v>
      </c>
      <c r="C319" s="217">
        <f t="shared" si="24"/>
        <v>210.76470588235293</v>
      </c>
      <c r="D319" s="272">
        <f t="shared" si="21"/>
        <v>210.76470588235293</v>
      </c>
    </row>
    <row r="320" spans="1:4">
      <c r="A320" s="272">
        <f t="shared" si="22"/>
        <v>300</v>
      </c>
      <c r="B320" s="217">
        <f t="shared" si="24"/>
        <v>211.76470588235293</v>
      </c>
      <c r="C320" s="217">
        <f t="shared" si="24"/>
        <v>211.76470588235293</v>
      </c>
      <c r="D320" s="272">
        <f t="shared" si="21"/>
        <v>211.76470588235293</v>
      </c>
    </row>
  </sheetData>
  <phoneticPr fontId="0" type="noConversion"/>
  <printOptions gridLinesSet="0"/>
  <pageMargins left="0.5" right="0.5" top="1" bottom="0.55000000000000004" header="0.5" footer="0.5"/>
  <pageSetup scale="91" orientation="portrait" horizontalDpi="300" verticalDpi="300" r:id="rId1"/>
  <headerFooter alignWithMargins="0">
    <oddHeader xml:space="preserve">&amp;LFigure 2: The Samuelson-McKean Formula for a Perpetual Call Option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9"/>
  <sheetViews>
    <sheetView workbookViewId="0"/>
  </sheetViews>
  <sheetFormatPr defaultRowHeight="15"/>
  <cols>
    <col min="1" max="1" width="62.33203125" customWidth="1"/>
    <col min="2" max="2" width="17.109375" customWidth="1"/>
    <col min="3" max="3" width="4.6640625" customWidth="1"/>
    <col min="4" max="4" width="6.88671875" customWidth="1"/>
    <col min="6" max="6" width="9" style="196" bestFit="1" customWidth="1"/>
    <col min="7" max="7" width="8.88671875" style="69"/>
  </cols>
  <sheetData>
    <row r="1" spans="1:8" ht="15.75">
      <c r="A1" s="197" t="s">
        <v>163</v>
      </c>
      <c r="C1" s="195"/>
      <c r="D1" s="13"/>
    </row>
    <row r="2" spans="1:8" ht="16.5" thickBot="1">
      <c r="A2" s="197" t="s">
        <v>173</v>
      </c>
      <c r="C2" s="195"/>
      <c r="D2" s="13"/>
    </row>
    <row r="3" spans="1:8">
      <c r="A3" s="235" t="s">
        <v>62</v>
      </c>
      <c r="B3" s="63" t="s">
        <v>148</v>
      </c>
    </row>
    <row r="4" spans="1:8">
      <c r="A4" s="236" t="s">
        <v>67</v>
      </c>
      <c r="B4" s="237">
        <v>0.2</v>
      </c>
      <c r="C4" s="199"/>
      <c r="G4" s="198"/>
    </row>
    <row r="5" spans="1:8">
      <c r="A5" s="236" t="s">
        <v>68</v>
      </c>
      <c r="B5" s="237">
        <v>0.06</v>
      </c>
      <c r="C5" s="199"/>
      <c r="G5" s="198"/>
    </row>
    <row r="6" spans="1:8">
      <c r="A6" s="236" t="s">
        <v>72</v>
      </c>
      <c r="B6" s="237">
        <v>0.03</v>
      </c>
      <c r="C6" s="199"/>
      <c r="G6" s="198"/>
    </row>
    <row r="7" spans="1:8">
      <c r="A7" s="236" t="s">
        <v>69</v>
      </c>
      <c r="B7" s="237">
        <v>0.01</v>
      </c>
      <c r="C7" s="293" t="s">
        <v>172</v>
      </c>
      <c r="G7" s="198"/>
    </row>
    <row r="8" spans="1:8">
      <c r="A8" s="236" t="s">
        <v>63</v>
      </c>
      <c r="B8" s="238">
        <v>100</v>
      </c>
      <c r="C8" s="201"/>
      <c r="G8" s="200"/>
    </row>
    <row r="9" spans="1:8">
      <c r="A9" s="236" t="s">
        <v>64</v>
      </c>
      <c r="B9" s="238">
        <f>90/1.02</f>
        <v>88.235294117647058</v>
      </c>
      <c r="C9" s="202"/>
      <c r="G9" s="200"/>
    </row>
    <row r="10" spans="1:8">
      <c r="A10" s="236" t="s">
        <v>71</v>
      </c>
      <c r="B10" s="239">
        <v>0.09</v>
      </c>
      <c r="C10" s="204"/>
      <c r="G10" s="203"/>
    </row>
    <row r="11" spans="1:8" ht="15.75" thickBot="1">
      <c r="A11" s="240" t="s">
        <v>164</v>
      </c>
      <c r="B11" s="27">
        <v>1</v>
      </c>
      <c r="C11" s="204"/>
      <c r="G11" s="203"/>
    </row>
    <row r="12" spans="1:8" ht="15.75" thickBot="1">
      <c r="C12" s="206"/>
      <c r="G12" s="205"/>
    </row>
    <row r="13" spans="1:8">
      <c r="A13" s="225" t="s">
        <v>65</v>
      </c>
      <c r="B13" s="226"/>
      <c r="C13" s="204"/>
      <c r="G13" s="203"/>
      <c r="H13" s="207"/>
    </row>
    <row r="14" spans="1:8">
      <c r="A14" s="22" t="s">
        <v>168</v>
      </c>
      <c r="B14" s="230">
        <f>B8/EXP(B5*(B11))</f>
        <v>94.176453358424865</v>
      </c>
      <c r="C14" s="74"/>
      <c r="F14" s="208"/>
      <c r="G14" s="75"/>
      <c r="H14" s="207"/>
    </row>
    <row r="15" spans="1:8">
      <c r="A15" s="273" t="s">
        <v>167</v>
      </c>
      <c r="B15" s="292">
        <f>LN(B14/(B9*EXP(-B7*(B11))))/(B4*SQRT(B11))+B4*SQRT(B11)/2</f>
        <v>0.47581571477002915</v>
      </c>
      <c r="C15" s="74"/>
      <c r="F15" s="208"/>
      <c r="G15" s="75"/>
      <c r="H15" s="207"/>
    </row>
    <row r="16" spans="1:8" ht="15.75">
      <c r="A16" s="290" t="s">
        <v>169</v>
      </c>
      <c r="B16" s="291">
        <f>B14*NORMSDIST(B15)-B9*NORMSDIST(B15-B4*SQRT(B11))*EXP(-B7*(B11))</f>
        <v>11.142335230201169</v>
      </c>
      <c r="C16" s="74"/>
      <c r="F16" s="208"/>
      <c r="G16" s="75"/>
      <c r="H16" s="207"/>
    </row>
    <row r="17" spans="1:9">
      <c r="A17" s="228" t="s">
        <v>170</v>
      </c>
      <c r="B17" s="227">
        <f>NORMSDIST(B15)</f>
        <v>0.68289716338288919</v>
      </c>
      <c r="C17" s="74"/>
      <c r="F17" s="208"/>
      <c r="G17" s="75"/>
      <c r="H17" s="207"/>
    </row>
    <row r="18" spans="1:9">
      <c r="A18" s="228" t="s">
        <v>171</v>
      </c>
      <c r="B18" s="229">
        <f>(B14/B16)*B17</f>
        <v>5.7719348347741439</v>
      </c>
      <c r="C18" s="74"/>
      <c r="G18" s="209"/>
      <c r="H18" s="207"/>
    </row>
    <row r="19" spans="1:9" ht="15.75" thickBot="1">
      <c r="A19" s="233" t="s">
        <v>73</v>
      </c>
      <c r="B19" s="234">
        <f>(B10-B6)*B18+B6</f>
        <v>0.37631609008644862</v>
      </c>
      <c r="C19" s="74"/>
      <c r="G19" s="209"/>
      <c r="H19" s="207"/>
    </row>
    <row r="20" spans="1:9">
      <c r="C20" s="74"/>
      <c r="G20" s="210"/>
      <c r="H20" s="207"/>
    </row>
    <row r="21" spans="1:9">
      <c r="A21" s="36"/>
      <c r="B21" s="44"/>
      <c r="C21" s="274"/>
      <c r="D21" s="4"/>
      <c r="E21" s="4"/>
      <c r="F21" s="275"/>
      <c r="G21" s="135"/>
      <c r="H21" s="276"/>
      <c r="I21" s="4"/>
    </row>
    <row r="22" spans="1:9">
      <c r="A22" s="36"/>
      <c r="B22" s="24"/>
      <c r="C22" s="274"/>
      <c r="D22" s="4"/>
      <c r="E22" s="277"/>
      <c r="F22" s="24"/>
      <c r="G22" s="24"/>
      <c r="H22" s="276"/>
      <c r="I22" s="4"/>
    </row>
    <row r="23" spans="1:9">
      <c r="A23" s="4"/>
      <c r="B23" s="4"/>
      <c r="C23" s="274"/>
      <c r="D23" s="4"/>
      <c r="E23" s="277"/>
      <c r="F23" s="24"/>
      <c r="G23" s="24"/>
      <c r="H23" s="276"/>
      <c r="I23" s="4"/>
    </row>
    <row r="24" spans="1:9">
      <c r="A24" s="278"/>
      <c r="B24" s="279"/>
      <c r="C24" s="280"/>
      <c r="D24" s="4"/>
      <c r="E24" s="277"/>
      <c r="F24" s="24"/>
      <c r="G24" s="279"/>
      <c r="H24" s="276"/>
      <c r="I24" s="4"/>
    </row>
    <row r="25" spans="1:9">
      <c r="A25" s="36"/>
      <c r="B25" s="36"/>
      <c r="C25" s="281"/>
      <c r="D25" s="4"/>
      <c r="E25" s="4"/>
      <c r="F25" s="275"/>
      <c r="G25" s="36"/>
      <c r="H25" s="276"/>
      <c r="I25" s="4"/>
    </row>
    <row r="26" spans="1:9">
      <c r="A26" s="278"/>
      <c r="B26" s="282"/>
      <c r="C26" s="281"/>
      <c r="D26" s="4"/>
      <c r="E26" s="4"/>
      <c r="F26" s="275"/>
      <c r="G26" s="283"/>
      <c r="H26" s="276"/>
      <c r="I26" s="4"/>
    </row>
    <row r="27" spans="1:9">
      <c r="A27" s="278"/>
      <c r="B27" s="282"/>
      <c r="C27" s="278"/>
      <c r="D27" s="4"/>
      <c r="E27" s="4"/>
      <c r="F27" s="275"/>
      <c r="G27" s="282"/>
      <c r="H27" s="276"/>
      <c r="I27" s="4"/>
    </row>
    <row r="28" spans="1:9">
      <c r="A28" s="4"/>
      <c r="B28" s="4"/>
      <c r="C28" s="278"/>
      <c r="D28" s="4"/>
      <c r="E28" s="4"/>
      <c r="F28" s="275"/>
      <c r="G28" s="282"/>
      <c r="H28" s="276"/>
      <c r="I28" s="4"/>
    </row>
    <row r="29" spans="1:9">
      <c r="A29" s="284"/>
      <c r="B29" s="282"/>
      <c r="C29" s="278"/>
      <c r="D29" s="4"/>
      <c r="E29" s="4"/>
      <c r="F29" s="275"/>
      <c r="G29" s="282"/>
      <c r="H29" s="276"/>
      <c r="I29" s="4"/>
    </row>
    <row r="30" spans="1:9">
      <c r="A30" s="36"/>
      <c r="B30" s="24"/>
      <c r="C30" s="278"/>
      <c r="D30" s="4"/>
      <c r="E30" s="4"/>
      <c r="F30" s="275"/>
      <c r="G30" s="282"/>
      <c r="H30" s="276"/>
      <c r="I30" s="4"/>
    </row>
    <row r="31" spans="1:9">
      <c r="A31" s="36"/>
      <c r="B31" s="24"/>
      <c r="C31" s="278"/>
      <c r="D31" s="4"/>
      <c r="E31" s="4"/>
      <c r="F31" s="275"/>
      <c r="G31" s="282"/>
      <c r="H31" s="276"/>
      <c r="I31" s="4"/>
    </row>
    <row r="32" spans="1:9">
      <c r="A32" s="36"/>
      <c r="B32" s="24"/>
      <c r="C32" s="278"/>
      <c r="D32" s="4"/>
      <c r="E32" s="4"/>
      <c r="F32" s="275"/>
      <c r="G32" s="282"/>
      <c r="H32" s="276"/>
      <c r="I32" s="4"/>
    </row>
    <row r="33" spans="1:9">
      <c r="A33" s="36"/>
      <c r="B33" s="24"/>
      <c r="C33" s="278"/>
      <c r="D33" s="4"/>
      <c r="E33" s="4"/>
      <c r="F33" s="275"/>
      <c r="G33" s="282"/>
      <c r="H33" s="276"/>
      <c r="I33" s="4"/>
    </row>
    <row r="34" spans="1:9">
      <c r="A34" s="36"/>
      <c r="B34" s="285"/>
      <c r="C34" s="278"/>
      <c r="D34" s="4"/>
      <c r="E34" s="4"/>
      <c r="F34" s="275"/>
      <c r="G34" s="282"/>
      <c r="H34" s="276"/>
      <c r="I34" s="4"/>
    </row>
    <row r="35" spans="1:9">
      <c r="A35" s="36"/>
      <c r="B35" s="24"/>
      <c r="C35" s="278"/>
      <c r="D35" s="4"/>
      <c r="E35" s="4"/>
      <c r="F35" s="275"/>
      <c r="G35" s="282"/>
      <c r="H35" s="276"/>
      <c r="I35" s="4"/>
    </row>
    <row r="36" spans="1:9">
      <c r="A36" s="36"/>
      <c r="B36" s="42"/>
      <c r="C36" s="286"/>
      <c r="D36" s="287"/>
      <c r="E36" s="4"/>
      <c r="F36" s="275"/>
      <c r="G36" s="44"/>
      <c r="H36" s="4"/>
      <c r="I36" s="4"/>
    </row>
    <row r="37" spans="1:9">
      <c r="A37" s="36"/>
      <c r="B37" s="42"/>
      <c r="C37" s="4"/>
      <c r="D37" s="4"/>
      <c r="E37" s="4"/>
      <c r="F37" s="275"/>
      <c r="G37" s="44"/>
      <c r="H37" s="4"/>
      <c r="I37" s="4"/>
    </row>
    <row r="38" spans="1:9">
      <c r="A38" s="36"/>
      <c r="B38" s="42"/>
      <c r="C38" s="4"/>
      <c r="D38" s="4"/>
      <c r="E38" s="4"/>
      <c r="F38" s="275"/>
      <c r="G38" s="44"/>
      <c r="H38" s="4"/>
      <c r="I38" s="4"/>
    </row>
    <row r="39" spans="1:9">
      <c r="A39" s="36"/>
      <c r="B39" s="42"/>
      <c r="C39" s="4"/>
      <c r="D39" s="4"/>
      <c r="E39" s="4"/>
      <c r="F39" s="275"/>
      <c r="G39" s="44"/>
      <c r="H39" s="4"/>
      <c r="I39" s="4"/>
    </row>
    <row r="40" spans="1:9">
      <c r="A40" s="36"/>
      <c r="B40" s="42"/>
      <c r="C40" s="286"/>
      <c r="D40" s="287"/>
      <c r="E40" s="4"/>
      <c r="F40" s="275"/>
      <c r="G40" s="44"/>
      <c r="H40" s="4"/>
      <c r="I40" s="4"/>
    </row>
    <row r="41" spans="1:9">
      <c r="A41" s="4"/>
      <c r="B41" s="4"/>
      <c r="C41" s="4"/>
      <c r="D41" s="4"/>
      <c r="E41" s="4"/>
      <c r="F41" s="275"/>
      <c r="G41" s="44"/>
      <c r="H41" s="4"/>
      <c r="I41" s="4"/>
    </row>
    <row r="42" spans="1:9">
      <c r="A42" s="4"/>
      <c r="B42" s="42"/>
      <c r="C42" s="278"/>
      <c r="D42" s="4"/>
      <c r="E42" s="4"/>
      <c r="F42" s="275"/>
      <c r="G42" s="42"/>
      <c r="H42" s="276"/>
      <c r="I42" s="4"/>
    </row>
    <row r="43" spans="1:9">
      <c r="A43" s="288"/>
      <c r="B43" s="289"/>
      <c r="C43" s="278"/>
      <c r="D43" s="4"/>
      <c r="E43" s="4"/>
      <c r="F43" s="275"/>
      <c r="G43" s="289"/>
      <c r="H43" s="276"/>
      <c r="I43" s="4"/>
    </row>
    <row r="44" spans="1:9">
      <c r="A44" s="36"/>
      <c r="B44" s="278"/>
      <c r="C44" s="36"/>
      <c r="D44" s="4"/>
      <c r="E44" s="4"/>
      <c r="F44" s="275"/>
      <c r="G44" s="278"/>
      <c r="H44" s="276"/>
      <c r="I44" s="4"/>
    </row>
    <row r="45" spans="1:9">
      <c r="A45" s="36"/>
      <c r="B45" s="42"/>
      <c r="C45" s="4"/>
      <c r="D45" s="4"/>
      <c r="E45" s="4"/>
      <c r="F45" s="275"/>
      <c r="G45" s="42"/>
      <c r="H45" s="276"/>
      <c r="I45" s="4"/>
    </row>
    <row r="46" spans="1:9">
      <c r="A46" s="288"/>
      <c r="B46" s="42"/>
      <c r="C46" s="4"/>
      <c r="D46" s="4"/>
      <c r="E46" s="4"/>
      <c r="F46" s="275"/>
      <c r="G46" s="4"/>
      <c r="H46" s="276"/>
      <c r="I46" s="4"/>
    </row>
    <row r="47" spans="1:9">
      <c r="A47" s="4"/>
      <c r="B47" s="4"/>
      <c r="C47" s="4"/>
      <c r="D47" s="4"/>
      <c r="E47" s="4"/>
      <c r="F47" s="275"/>
      <c r="G47" s="44"/>
      <c r="H47" s="276"/>
      <c r="I47" s="4"/>
    </row>
    <row r="48" spans="1:9">
      <c r="A48" s="4"/>
      <c r="B48" s="4"/>
      <c r="C48" s="4"/>
      <c r="D48" s="4"/>
      <c r="E48" s="4"/>
      <c r="F48" s="275"/>
      <c r="G48" s="44"/>
      <c r="H48" s="276"/>
      <c r="I48" s="4"/>
    </row>
    <row r="49" spans="1:9">
      <c r="A49" s="4"/>
      <c r="B49" s="4"/>
      <c r="C49" s="4"/>
      <c r="D49" s="4"/>
      <c r="E49" s="4"/>
      <c r="F49" s="275"/>
      <c r="G49" s="44"/>
      <c r="H49" s="276"/>
      <c r="I49" s="4"/>
    </row>
    <row r="50" spans="1:9">
      <c r="A50" s="36"/>
      <c r="B50" s="4"/>
      <c r="C50" s="4"/>
      <c r="D50" s="4"/>
      <c r="E50" s="4"/>
      <c r="F50" s="275"/>
      <c r="G50" s="44"/>
      <c r="H50" s="4"/>
      <c r="I50" s="4"/>
    </row>
    <row r="51" spans="1:9">
      <c r="A51" s="36"/>
      <c r="B51" s="4"/>
      <c r="C51" s="4"/>
      <c r="D51" s="4"/>
      <c r="E51" s="4"/>
      <c r="F51" s="275"/>
      <c r="G51" s="44"/>
      <c r="H51" s="4"/>
      <c r="I51" s="4"/>
    </row>
    <row r="52" spans="1:9">
      <c r="A52" s="36"/>
      <c r="B52" s="4"/>
      <c r="C52" s="4"/>
      <c r="D52" s="4"/>
      <c r="E52" s="4"/>
      <c r="F52" s="275"/>
      <c r="G52" s="44"/>
      <c r="H52" s="276"/>
      <c r="I52" s="4"/>
    </row>
    <row r="53" spans="1:9">
      <c r="A53" s="222"/>
      <c r="B53" s="16"/>
      <c r="H53" s="207"/>
    </row>
    <row r="54" spans="1:9">
      <c r="H54" s="207"/>
    </row>
    <row r="55" spans="1:9">
      <c r="A55" s="221"/>
      <c r="B55" s="16"/>
      <c r="H55" s="207"/>
    </row>
    <row r="56" spans="1:9">
      <c r="A56" s="223"/>
      <c r="H56" s="207"/>
    </row>
    <row r="57" spans="1:9">
      <c r="H57" s="207"/>
    </row>
    <row r="58" spans="1:9">
      <c r="A58" s="224"/>
      <c r="H58" s="207"/>
    </row>
    <row r="59" spans="1:9">
      <c r="H59" s="207"/>
    </row>
    <row r="60" spans="1:9">
      <c r="H60" s="207"/>
    </row>
    <row r="61" spans="1:9">
      <c r="H61" s="207"/>
    </row>
    <row r="62" spans="1:9">
      <c r="H62" s="207"/>
    </row>
    <row r="63" spans="1:9">
      <c r="H63" s="207"/>
    </row>
    <row r="64" spans="1:9">
      <c r="H64" s="207"/>
    </row>
    <row r="65" spans="8:8">
      <c r="H65" s="207"/>
    </row>
    <row r="66" spans="8:8">
      <c r="H66" s="207"/>
    </row>
    <row r="69" spans="8:8">
      <c r="H69" s="207"/>
    </row>
    <row r="70" spans="8:8">
      <c r="H70" s="207"/>
    </row>
    <row r="71" spans="8:8">
      <c r="H71" s="207"/>
    </row>
    <row r="72" spans="8:8">
      <c r="H72" s="207"/>
    </row>
    <row r="73" spans="8:8">
      <c r="H73" s="207"/>
    </row>
    <row r="74" spans="8:8">
      <c r="H74" s="207"/>
    </row>
    <row r="75" spans="8:8">
      <c r="H75" s="207"/>
    </row>
    <row r="76" spans="8:8">
      <c r="H76" s="207"/>
    </row>
    <row r="77" spans="8:8">
      <c r="H77" s="207"/>
    </row>
    <row r="78" spans="8:8">
      <c r="H78" s="207"/>
    </row>
    <row r="79" spans="8:8">
      <c r="H79" s="207"/>
    </row>
    <row r="80" spans="8:8">
      <c r="H80" s="207"/>
    </row>
    <row r="81" spans="8:8">
      <c r="H81" s="207"/>
    </row>
    <row r="82" spans="8:8">
      <c r="H82" s="207"/>
    </row>
    <row r="83" spans="8:8">
      <c r="H83" s="207"/>
    </row>
    <row r="84" spans="8:8">
      <c r="H84" s="207"/>
    </row>
    <row r="85" spans="8:8">
      <c r="H85" s="207"/>
    </row>
    <row r="86" spans="8:8">
      <c r="H86" s="207"/>
    </row>
    <row r="87" spans="8:8">
      <c r="H87" s="207"/>
    </row>
    <row r="88" spans="8:8">
      <c r="H88" s="207"/>
    </row>
    <row r="89" spans="8:8">
      <c r="H89" s="20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</vt:lpstr>
      <vt:lpstr>Sect.27.3</vt:lpstr>
      <vt:lpstr>Exhs.27-4&amp;5</vt:lpstr>
      <vt:lpstr>Exhs.CD27-1-8</vt:lpstr>
      <vt:lpstr>Risk-Neutr</vt:lpstr>
      <vt:lpstr>Sam-McK</vt:lpstr>
      <vt:lpstr>Exhs.27-6&amp;7</vt:lpstr>
      <vt:lpstr>Black-Scholes</vt:lpstr>
      <vt:lpstr>'Exhs.27-6&amp;7'!Print_Area</vt:lpstr>
    </vt:vector>
  </TitlesOfParts>
  <Company>Center for Real Estate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Massachusetts Institute of Technology</dc:creator>
  <cp:lastModifiedBy>Brian Brogaard</cp:lastModifiedBy>
  <dcterms:created xsi:type="dcterms:W3CDTF">2005-01-30T17:31:47Z</dcterms:created>
  <dcterms:modified xsi:type="dcterms:W3CDTF">2021-01-22T17:08:24Z</dcterms:modified>
</cp:coreProperties>
</file>