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geltner\Documents\BOOK_3e\DG_3e_work\Ch15\"/>
    </mc:Choice>
  </mc:AlternateContent>
  <bookViews>
    <workbookView xWindow="432" yWindow="792" windowWidth="6816" windowHeight="5832" tabRatio="678"/>
  </bookViews>
  <sheets>
    <sheet name="Splits Analysis Expected" sheetId="34" r:id="rId1"/>
    <sheet name="Optimistic CFs" sheetId="35" r:id="rId2"/>
    <sheet name="Optimistic Splits" sheetId="36" r:id="rId3"/>
    <sheet name="Pessimistic CFs" sheetId="37" r:id="rId4"/>
    <sheet name="Pessiimistic Splits" sheetId="38" r:id="rId5"/>
    <sheet name="Sens Ana &amp; Fairness" sheetId="39" r:id="rId6"/>
    <sheet name="MarglInvestrAPVvaluationEx14-6" sheetId="33" r:id="rId7"/>
  </sheets>
  <externalReferences>
    <externalReference r:id="rId8"/>
  </externalReferences>
  <definedNames>
    <definedName name="__123Graph_BSAMMCK2" hidden="1">[1]Charts!#REF!</definedName>
    <definedName name="__123Graph_CSAMMCK1" hidden="1">[1]Charts!#REF!</definedName>
    <definedName name="_xlnm.Print_Area" localSheetId="6">'MarglInvestrAPVvaluationEx14-6'!$A$47:$N$74</definedName>
    <definedName name="_xlnm.Print_Area" localSheetId="1">'Optimistic CFs'!$A$47:$N$74</definedName>
    <definedName name="_xlnm.Print_Area" localSheetId="3">'Pessimistic CFs'!$A$47:$N$74</definedName>
    <definedName name="s">[1]Charts!$L$4</definedName>
  </definedNames>
  <calcPr calcId="152511"/>
</workbook>
</file>

<file path=xl/calcChain.xml><?xml version="1.0" encoding="utf-8"?>
<calcChain xmlns="http://schemas.openxmlformats.org/spreadsheetml/2006/main">
  <c r="B33" i="33" l="1"/>
  <c r="B59" i="33" s="1"/>
  <c r="C33" i="33"/>
  <c r="D33" i="33"/>
  <c r="E33" i="33"/>
  <c r="E40" i="33" s="1"/>
  <c r="F33" i="33"/>
  <c r="F40" i="33" s="1"/>
  <c r="G33" i="33"/>
  <c r="H33" i="33"/>
  <c r="I33" i="33"/>
  <c r="I40" i="33" s="1"/>
  <c r="J33" i="33"/>
  <c r="J59" i="33" s="1"/>
  <c r="K33" i="33"/>
  <c r="B39" i="33"/>
  <c r="B66" i="33" s="1"/>
  <c r="B80" i="33" s="1"/>
  <c r="C39" i="33"/>
  <c r="C66" i="33" s="1"/>
  <c r="C80" i="33" s="1"/>
  <c r="D39" i="33"/>
  <c r="D66" i="33" s="1"/>
  <c r="D80" i="33" s="1"/>
  <c r="E39" i="33"/>
  <c r="F39" i="33"/>
  <c r="F66" i="33" s="1"/>
  <c r="G39" i="33"/>
  <c r="H39" i="33"/>
  <c r="H66" i="33" s="1"/>
  <c r="H80" i="33" s="1"/>
  <c r="I39" i="33"/>
  <c r="J39" i="33"/>
  <c r="J66" i="33" s="1"/>
  <c r="J80" i="33" s="1"/>
  <c r="K39" i="33"/>
  <c r="B40" i="33"/>
  <c r="C40" i="33"/>
  <c r="G40" i="33"/>
  <c r="K40" i="33"/>
  <c r="C49" i="33"/>
  <c r="C50" i="33"/>
  <c r="C51" i="33"/>
  <c r="C52" i="33"/>
  <c r="C53" i="33"/>
  <c r="C59" i="33"/>
  <c r="C67" i="33" s="1"/>
  <c r="E59" i="33"/>
  <c r="E85" i="33" s="1"/>
  <c r="F59" i="33"/>
  <c r="F85" i="33" s="1"/>
  <c r="G59" i="33"/>
  <c r="K59" i="33"/>
  <c r="K67" i="33" s="1"/>
  <c r="E66" i="33"/>
  <c r="G66" i="33"/>
  <c r="G80" i="33" s="1"/>
  <c r="I66" i="33"/>
  <c r="K66" i="33"/>
  <c r="G67" i="33"/>
  <c r="B68" i="33"/>
  <c r="C68" i="33"/>
  <c r="D68" i="33"/>
  <c r="E68" i="33"/>
  <c r="F68" i="33"/>
  <c r="G68" i="33"/>
  <c r="H68" i="33"/>
  <c r="I68" i="33"/>
  <c r="J68" i="33"/>
  <c r="K68" i="33"/>
  <c r="E80" i="33"/>
  <c r="F80" i="33"/>
  <c r="I80" i="33"/>
  <c r="K80" i="33"/>
  <c r="C85" i="33"/>
  <c r="G85" i="33"/>
  <c r="K85" i="33"/>
  <c r="B58" i="38"/>
  <c r="B2" i="39"/>
  <c r="B3" i="34" s="1"/>
  <c r="B3" i="38" s="1"/>
  <c r="C8" i="38"/>
  <c r="C10" i="38" s="1"/>
  <c r="C11" i="38" s="1"/>
  <c r="B4" i="34"/>
  <c r="B4" i="38" s="1"/>
  <c r="C29" i="38" s="1"/>
  <c r="C32" i="38" s="1"/>
  <c r="G16" i="38"/>
  <c r="G22" i="38" s="1"/>
  <c r="L16" i="38"/>
  <c r="L22" i="38" s="1"/>
  <c r="C8" i="36"/>
  <c r="C10" i="36" s="1"/>
  <c r="C11" i="36" s="1"/>
  <c r="G16" i="36"/>
  <c r="G22" i="36" s="1"/>
  <c r="L16" i="36"/>
  <c r="L22" i="36" s="1"/>
  <c r="C8" i="34"/>
  <c r="C10" i="34" s="1"/>
  <c r="C11" i="34" s="1"/>
  <c r="G16" i="34"/>
  <c r="G22" i="34" s="1"/>
  <c r="L16" i="34"/>
  <c r="L22" i="34" s="1"/>
  <c r="E16" i="34"/>
  <c r="E22" i="34"/>
  <c r="D9" i="34"/>
  <c r="D10" i="34" s="1"/>
  <c r="D12" i="34" s="1"/>
  <c r="D13" i="34" s="1"/>
  <c r="D41" i="34" s="1"/>
  <c r="B5" i="34"/>
  <c r="B5" i="38" s="1"/>
  <c r="D9" i="36"/>
  <c r="D10" i="36" s="1"/>
  <c r="D12" i="36" s="1"/>
  <c r="D13" i="36" s="1"/>
  <c r="D9" i="38"/>
  <c r="D10" i="38" s="1"/>
  <c r="D12" i="38" s="1"/>
  <c r="D13" i="38" s="1"/>
  <c r="B13" i="37"/>
  <c r="C33" i="37" s="1"/>
  <c r="C59" i="37" s="1"/>
  <c r="B13" i="35"/>
  <c r="C33" i="35" s="1"/>
  <c r="C59" i="35" s="1"/>
  <c r="B33" i="37"/>
  <c r="B40" i="37" s="1"/>
  <c r="B32" i="37"/>
  <c r="B34" i="37" s="1"/>
  <c r="E33" i="37"/>
  <c r="E40" i="37" s="1"/>
  <c r="H33" i="37"/>
  <c r="J33" i="37"/>
  <c r="J59" i="37" s="1"/>
  <c r="J40" i="37"/>
  <c r="E16" i="38"/>
  <c r="E22" i="38" s="1"/>
  <c r="F16" i="38"/>
  <c r="F22" i="38" s="1"/>
  <c r="H16" i="38"/>
  <c r="H22" i="38"/>
  <c r="I16" i="38"/>
  <c r="I22" i="38" s="1"/>
  <c r="J16" i="38"/>
  <c r="J22" i="38" s="1"/>
  <c r="K16" i="38"/>
  <c r="K22" i="38" s="1"/>
  <c r="M16" i="38"/>
  <c r="M22" i="38" s="1"/>
  <c r="B32" i="35"/>
  <c r="B58" i="35" s="1"/>
  <c r="B79" i="35" s="1"/>
  <c r="D33" i="35"/>
  <c r="D40" i="35" s="1"/>
  <c r="H33" i="35"/>
  <c r="H40" i="35" s="1"/>
  <c r="F16" i="34"/>
  <c r="F22" i="34" s="1"/>
  <c r="H16" i="34"/>
  <c r="H22" i="34" s="1"/>
  <c r="I16" i="34"/>
  <c r="I22" i="34" s="1"/>
  <c r="J16" i="34"/>
  <c r="J22" i="34" s="1"/>
  <c r="K16" i="34"/>
  <c r="K22" i="34" s="1"/>
  <c r="M16" i="34"/>
  <c r="M22" i="34" s="1"/>
  <c r="N6" i="38"/>
  <c r="N39" i="38" s="1"/>
  <c r="M6" i="38"/>
  <c r="M39" i="38" s="1"/>
  <c r="L6" i="38"/>
  <c r="L39" i="38" s="1"/>
  <c r="K6" i="38"/>
  <c r="K39" i="38" s="1"/>
  <c r="J6" i="38"/>
  <c r="J39" i="38" s="1"/>
  <c r="I6" i="38"/>
  <c r="I39" i="38" s="1"/>
  <c r="H6" i="38"/>
  <c r="H39" i="38" s="1"/>
  <c r="G6" i="38"/>
  <c r="F6" i="38"/>
  <c r="F39" i="38" s="1"/>
  <c r="E6" i="38"/>
  <c r="E39" i="38" s="1"/>
  <c r="D6" i="38"/>
  <c r="D39" i="38" s="1"/>
  <c r="C6" i="38"/>
  <c r="C39" i="38" s="1"/>
  <c r="N6" i="36"/>
  <c r="N39" i="36" s="1"/>
  <c r="M6" i="36"/>
  <c r="M39" i="36" s="1"/>
  <c r="L6" i="36"/>
  <c r="L39" i="36" s="1"/>
  <c r="K6" i="36"/>
  <c r="K39" i="36" s="1"/>
  <c r="J6" i="36"/>
  <c r="J39" i="36" s="1"/>
  <c r="I6" i="36"/>
  <c r="I39" i="36" s="1"/>
  <c r="H6" i="36"/>
  <c r="H39" i="36" s="1"/>
  <c r="G6" i="36"/>
  <c r="G39" i="36" s="1"/>
  <c r="F6" i="36"/>
  <c r="F39" i="36" s="1"/>
  <c r="E6" i="36"/>
  <c r="E39" i="36" s="1"/>
  <c r="D6" i="36"/>
  <c r="D39" i="36" s="1"/>
  <c r="C6" i="36"/>
  <c r="C39" i="36" s="1"/>
  <c r="E22" i="39"/>
  <c r="E16" i="36"/>
  <c r="E22" i="36" s="1"/>
  <c r="F16" i="36"/>
  <c r="F22" i="36" s="1"/>
  <c r="H16" i="36"/>
  <c r="H22" i="36" s="1"/>
  <c r="I16" i="36"/>
  <c r="I22" i="36" s="1"/>
  <c r="J16" i="36"/>
  <c r="J22" i="36" s="1"/>
  <c r="K16" i="36"/>
  <c r="K22" i="36" s="1"/>
  <c r="M16" i="36"/>
  <c r="M22" i="36" s="1"/>
  <c r="C5" i="37"/>
  <c r="C5" i="35"/>
  <c r="E14" i="37"/>
  <c r="F14" i="37"/>
  <c r="G15" i="37"/>
  <c r="G18" i="37"/>
  <c r="G19" i="37"/>
  <c r="G22" i="37"/>
  <c r="G23" i="37"/>
  <c r="C9" i="37"/>
  <c r="I13" i="37"/>
  <c r="K14" i="37" s="1"/>
  <c r="J13" i="37"/>
  <c r="A14" i="37"/>
  <c r="A15" i="37"/>
  <c r="A16" i="37" s="1"/>
  <c r="A17" i="37" s="1"/>
  <c r="A18" i="37" s="1"/>
  <c r="A19" i="37" s="1"/>
  <c r="A20" i="37" s="1"/>
  <c r="A21" i="37" s="1"/>
  <c r="A22" i="37" s="1"/>
  <c r="A23" i="37" s="1"/>
  <c r="N25" i="37"/>
  <c r="B39" i="37"/>
  <c r="B66" i="37" s="1"/>
  <c r="B80" i="37" s="1"/>
  <c r="C39" i="37"/>
  <c r="D39" i="37"/>
  <c r="D66" i="37" s="1"/>
  <c r="E39" i="37"/>
  <c r="F39" i="37"/>
  <c r="G39" i="37"/>
  <c r="H39" i="37"/>
  <c r="H66" i="37" s="1"/>
  <c r="I39" i="37"/>
  <c r="I66" i="37" s="1"/>
  <c r="I80" i="37" s="1"/>
  <c r="J39" i="37"/>
  <c r="J66" i="37" s="1"/>
  <c r="J80" i="37" s="1"/>
  <c r="K39" i="37"/>
  <c r="C50" i="37"/>
  <c r="C51" i="37"/>
  <c r="C52" i="37"/>
  <c r="C53" i="37"/>
  <c r="B59" i="37"/>
  <c r="B60" i="37"/>
  <c r="B82" i="37" s="1"/>
  <c r="C66" i="37"/>
  <c r="E66" i="37"/>
  <c r="E80" i="37" s="1"/>
  <c r="F66" i="37"/>
  <c r="F80" i="37" s="1"/>
  <c r="G66" i="37"/>
  <c r="K66" i="37"/>
  <c r="K80" i="37" s="1"/>
  <c r="B68" i="37"/>
  <c r="C68" i="37"/>
  <c r="D68" i="37"/>
  <c r="E68" i="37"/>
  <c r="F68" i="37"/>
  <c r="G68" i="37"/>
  <c r="H68" i="37"/>
  <c r="I68" i="37"/>
  <c r="J68" i="37"/>
  <c r="K68" i="37"/>
  <c r="C80" i="37"/>
  <c r="D80" i="37"/>
  <c r="G80" i="37"/>
  <c r="H80" i="37"/>
  <c r="B2" i="38"/>
  <c r="G39" i="38"/>
  <c r="B2" i="36"/>
  <c r="C9" i="35"/>
  <c r="N25" i="35" s="1"/>
  <c r="I13" i="35"/>
  <c r="J13" i="35"/>
  <c r="A14" i="35"/>
  <c r="A15" i="35" s="1"/>
  <c r="A16" i="35" s="1"/>
  <c r="A17" i="35" s="1"/>
  <c r="A18" i="35" s="1"/>
  <c r="A19" i="35" s="1"/>
  <c r="A20" i="35" s="1"/>
  <c r="A21" i="35" s="1"/>
  <c r="A22" i="35" s="1"/>
  <c r="A23" i="35" s="1"/>
  <c r="I14" i="35"/>
  <c r="B39" i="35"/>
  <c r="B66" i="35" s="1"/>
  <c r="B80" i="35" s="1"/>
  <c r="C39" i="35"/>
  <c r="C66" i="35" s="1"/>
  <c r="C80" i="35" s="1"/>
  <c r="D39" i="35"/>
  <c r="D66" i="35" s="1"/>
  <c r="D80" i="35" s="1"/>
  <c r="E39" i="35"/>
  <c r="F39" i="35"/>
  <c r="F66" i="35" s="1"/>
  <c r="F80" i="35" s="1"/>
  <c r="G39" i="35"/>
  <c r="G66" i="35" s="1"/>
  <c r="G80" i="35" s="1"/>
  <c r="H39" i="35"/>
  <c r="H66" i="35" s="1"/>
  <c r="H80" i="35" s="1"/>
  <c r="I39" i="35"/>
  <c r="J39" i="35"/>
  <c r="J66" i="35" s="1"/>
  <c r="J80" i="35" s="1"/>
  <c r="K39" i="35"/>
  <c r="K66" i="35" s="1"/>
  <c r="C51" i="35"/>
  <c r="C52" i="35"/>
  <c r="C53" i="35"/>
  <c r="E66" i="35"/>
  <c r="E80" i="35" s="1"/>
  <c r="I66" i="35"/>
  <c r="I80" i="35" s="1"/>
  <c r="B68" i="35"/>
  <c r="C68" i="35"/>
  <c r="D68" i="35"/>
  <c r="E68" i="35"/>
  <c r="F68" i="35"/>
  <c r="G68" i="35"/>
  <c r="H68" i="35"/>
  <c r="I68" i="35"/>
  <c r="J68" i="35"/>
  <c r="K68" i="35"/>
  <c r="K80" i="35"/>
  <c r="D42" i="34"/>
  <c r="B2" i="34"/>
  <c r="C39" i="34"/>
  <c r="D39" i="34"/>
  <c r="E39" i="34"/>
  <c r="F39" i="34"/>
  <c r="G39" i="34"/>
  <c r="H39" i="34"/>
  <c r="I39" i="34"/>
  <c r="J39" i="34"/>
  <c r="K39" i="34"/>
  <c r="L39" i="34"/>
  <c r="M39" i="34"/>
  <c r="N39" i="34"/>
  <c r="C9" i="33"/>
  <c r="E13" i="33"/>
  <c r="I13" i="33"/>
  <c r="B60" i="33" s="1"/>
  <c r="J13" i="33"/>
  <c r="M13" i="33"/>
  <c r="A14" i="33"/>
  <c r="A15" i="33" s="1"/>
  <c r="A16" i="33" s="1"/>
  <c r="A17" i="33" s="1"/>
  <c r="A18" i="33" s="1"/>
  <c r="A19" i="33" s="1"/>
  <c r="A20" i="33" s="1"/>
  <c r="A21" i="33" s="1"/>
  <c r="A22" i="33" s="1"/>
  <c r="A23" i="33" s="1"/>
  <c r="C14" i="33"/>
  <c r="G14" i="33"/>
  <c r="K14" i="33"/>
  <c r="G15" i="33"/>
  <c r="G16" i="33"/>
  <c r="G17" i="33"/>
  <c r="G18" i="33"/>
  <c r="G19" i="33"/>
  <c r="G20" i="33"/>
  <c r="G21" i="33"/>
  <c r="G22" i="33"/>
  <c r="G23" i="33"/>
  <c r="N25" i="33"/>
  <c r="F14" i="35"/>
  <c r="E14" i="35"/>
  <c r="G15" i="35"/>
  <c r="G19" i="35"/>
  <c r="G23" i="35"/>
  <c r="C49" i="35"/>
  <c r="C85" i="35" l="1"/>
  <c r="C67" i="35"/>
  <c r="B84" i="35"/>
  <c r="B81" i="35"/>
  <c r="C67" i="37"/>
  <c r="C85" i="37"/>
  <c r="J85" i="33"/>
  <c r="J67" i="33"/>
  <c r="B85" i="33"/>
  <c r="B67" i="33"/>
  <c r="H59" i="35"/>
  <c r="H85" i="35" s="1"/>
  <c r="G22" i="35"/>
  <c r="G18" i="35"/>
  <c r="G14" i="35"/>
  <c r="J14" i="33"/>
  <c r="N14" i="33" s="1"/>
  <c r="B58" i="37"/>
  <c r="B79" i="37" s="1"/>
  <c r="F67" i="33"/>
  <c r="M13" i="35"/>
  <c r="G21" i="35"/>
  <c r="G17" i="35"/>
  <c r="I14" i="33"/>
  <c r="D42" i="36"/>
  <c r="B86" i="37"/>
  <c r="C49" i="37"/>
  <c r="M13" i="37"/>
  <c r="G21" i="37"/>
  <c r="G17" i="37"/>
  <c r="J33" i="35"/>
  <c r="F33" i="35"/>
  <c r="B33" i="35"/>
  <c r="B59" i="35" s="1"/>
  <c r="B85" i="35" s="1"/>
  <c r="F33" i="37"/>
  <c r="D33" i="37"/>
  <c r="E67" i="33"/>
  <c r="I59" i="33"/>
  <c r="J40" i="33"/>
  <c r="E59" i="37"/>
  <c r="I14" i="37"/>
  <c r="D59" i="35"/>
  <c r="D85" i="35" s="1"/>
  <c r="C50" i="35"/>
  <c r="E13" i="35"/>
  <c r="L13" i="35" s="1"/>
  <c r="G20" i="35"/>
  <c r="G16" i="35"/>
  <c r="L13" i="33"/>
  <c r="D42" i="38"/>
  <c r="E13" i="37"/>
  <c r="G20" i="37"/>
  <c r="G16" i="37"/>
  <c r="G14" i="37"/>
  <c r="I33" i="37"/>
  <c r="K33" i="37"/>
  <c r="D14" i="34"/>
  <c r="D50" i="34" s="1"/>
  <c r="C29" i="34"/>
  <c r="C32" i="34" s="1"/>
  <c r="D43" i="34"/>
  <c r="D48" i="34"/>
  <c r="D53" i="34" s="1"/>
  <c r="D57" i="34" s="1"/>
  <c r="B5" i="36"/>
  <c r="D48" i="36"/>
  <c r="D41" i="36"/>
  <c r="D14" i="36"/>
  <c r="D50" i="36" s="1"/>
  <c r="D43" i="36"/>
  <c r="C41" i="36"/>
  <c r="B41" i="36" s="1"/>
  <c r="D9" i="39" s="1"/>
  <c r="C48" i="36"/>
  <c r="C50" i="36"/>
  <c r="C43" i="36"/>
  <c r="D28" i="34"/>
  <c r="D54" i="34" s="1"/>
  <c r="C28" i="34"/>
  <c r="C33" i="34" s="1"/>
  <c r="C50" i="34"/>
  <c r="C43" i="34"/>
  <c r="C48" i="34"/>
  <c r="C41" i="34"/>
  <c r="B41" i="34" s="1"/>
  <c r="C9" i="39" s="1"/>
  <c r="D28" i="38"/>
  <c r="D54" i="38" s="1"/>
  <c r="J67" i="37"/>
  <c r="J85" i="37"/>
  <c r="C40" i="35"/>
  <c r="D48" i="38"/>
  <c r="D53" i="38" s="1"/>
  <c r="D14" i="38"/>
  <c r="D50" i="38" s="1"/>
  <c r="D41" i="38"/>
  <c r="D43" i="38"/>
  <c r="H14" i="37"/>
  <c r="G5" i="33"/>
  <c r="J15" i="35"/>
  <c r="I15" i="35"/>
  <c r="C60" i="35"/>
  <c r="K15" i="35"/>
  <c r="H59" i="37"/>
  <c r="H40" i="37"/>
  <c r="C60" i="33"/>
  <c r="J15" i="33"/>
  <c r="B32" i="33"/>
  <c r="F14" i="33"/>
  <c r="C15" i="33"/>
  <c r="K14" i="35"/>
  <c r="J14" i="35"/>
  <c r="L14" i="35" s="1"/>
  <c r="B67" i="37"/>
  <c r="B61" i="37"/>
  <c r="B85" i="37"/>
  <c r="J15" i="37"/>
  <c r="I15" i="37"/>
  <c r="K15" i="37"/>
  <c r="C15" i="35"/>
  <c r="D20" i="34"/>
  <c r="D45" i="34" s="1"/>
  <c r="C28" i="38"/>
  <c r="C33" i="38" s="1"/>
  <c r="C41" i="38"/>
  <c r="B41" i="38" s="1"/>
  <c r="E9" i="39" s="1"/>
  <c r="C50" i="38"/>
  <c r="C43" i="38"/>
  <c r="C48" i="38"/>
  <c r="B67" i="35"/>
  <c r="H14" i="35"/>
  <c r="M68" i="35"/>
  <c r="M68" i="37"/>
  <c r="H40" i="33"/>
  <c r="H59" i="33"/>
  <c r="M33" i="33"/>
  <c r="D40" i="33"/>
  <c r="D59" i="33"/>
  <c r="E14" i="33"/>
  <c r="B60" i="35"/>
  <c r="C60" i="37"/>
  <c r="L13" i="37"/>
  <c r="C15" i="37"/>
  <c r="C40" i="37"/>
  <c r="B3" i="36"/>
  <c r="C28" i="36" s="1"/>
  <c r="C33" i="36" s="1"/>
  <c r="B40" i="35"/>
  <c r="B34" i="35"/>
  <c r="J14" i="37"/>
  <c r="N14" i="37" s="1"/>
  <c r="C16" i="37"/>
  <c r="C17" i="37" s="1"/>
  <c r="C18" i="37" s="1"/>
  <c r="M68" i="33"/>
  <c r="B86" i="33"/>
  <c r="B82" i="33"/>
  <c r="B35" i="37"/>
  <c r="B43" i="37" s="1"/>
  <c r="K33" i="35"/>
  <c r="I33" i="35"/>
  <c r="G33" i="35"/>
  <c r="E33" i="35"/>
  <c r="G33" i="37"/>
  <c r="B4" i="36"/>
  <c r="C29" i="36" s="1"/>
  <c r="C32" i="36" s="1"/>
  <c r="M85" i="33"/>
  <c r="N85" i="33" s="1"/>
  <c r="B36" i="37" l="1"/>
  <c r="B41" i="37" s="1"/>
  <c r="B44" i="37" s="1"/>
  <c r="E15" i="38" s="1"/>
  <c r="H67" i="35"/>
  <c r="D49" i="34"/>
  <c r="K40" i="37"/>
  <c r="K59" i="37"/>
  <c r="I67" i="33"/>
  <c r="I85" i="33"/>
  <c r="D67" i="35"/>
  <c r="I59" i="37"/>
  <c r="I40" i="37"/>
  <c r="F40" i="35"/>
  <c r="F59" i="35"/>
  <c r="I15" i="33"/>
  <c r="K15" i="33"/>
  <c r="N15" i="33" s="1"/>
  <c r="F40" i="37"/>
  <c r="F59" i="37"/>
  <c r="M33" i="37"/>
  <c r="M59" i="37" s="1"/>
  <c r="M67" i="37" s="1"/>
  <c r="M14" i="35"/>
  <c r="B48" i="38"/>
  <c r="E13" i="39" s="1"/>
  <c r="E67" i="37"/>
  <c r="E85" i="37"/>
  <c r="D59" i="37"/>
  <c r="D40" i="37"/>
  <c r="J40" i="35"/>
  <c r="J59" i="35"/>
  <c r="B81" i="37"/>
  <c r="B83" i="37" s="1"/>
  <c r="B84" i="37"/>
  <c r="D20" i="36"/>
  <c r="D45" i="36" s="1"/>
  <c r="D49" i="36"/>
  <c r="B48" i="34"/>
  <c r="C13" i="39" s="1"/>
  <c r="C58" i="38"/>
  <c r="D27" i="38"/>
  <c r="D27" i="36"/>
  <c r="C58" i="34"/>
  <c r="C57" i="34"/>
  <c r="C57" i="38"/>
  <c r="F9" i="39"/>
  <c r="B48" i="36"/>
  <c r="D13" i="39" s="1"/>
  <c r="M40" i="37"/>
  <c r="F32" i="37"/>
  <c r="E18" i="37"/>
  <c r="F18" i="37"/>
  <c r="C19" i="37"/>
  <c r="E17" i="38"/>
  <c r="C82" i="37"/>
  <c r="C86" i="37"/>
  <c r="E40" i="35"/>
  <c r="E59" i="35"/>
  <c r="C58" i="36"/>
  <c r="C57" i="36"/>
  <c r="C54" i="36"/>
  <c r="C53" i="36"/>
  <c r="M40" i="33"/>
  <c r="M59" i="33"/>
  <c r="M67" i="33" s="1"/>
  <c r="I16" i="37"/>
  <c r="D60" i="37"/>
  <c r="J16" i="37"/>
  <c r="K16" i="37"/>
  <c r="B62" i="37"/>
  <c r="B71" i="37" s="1"/>
  <c r="N14" i="35"/>
  <c r="B34" i="33"/>
  <c r="B58" i="33"/>
  <c r="H85" i="37"/>
  <c r="H67" i="37"/>
  <c r="C82" i="35"/>
  <c r="C86" i="35"/>
  <c r="G9" i="39"/>
  <c r="I9" i="39"/>
  <c r="D27" i="34"/>
  <c r="C54" i="34"/>
  <c r="C53" i="34"/>
  <c r="B53" i="34" s="1"/>
  <c r="C17" i="39" s="1"/>
  <c r="M33" i="35"/>
  <c r="K40" i="35"/>
  <c r="K59" i="35"/>
  <c r="B35" i="35"/>
  <c r="B43" i="35" s="1"/>
  <c r="L14" i="33"/>
  <c r="H14" i="33"/>
  <c r="M14" i="33" s="1"/>
  <c r="I40" i="35"/>
  <c r="I59" i="35"/>
  <c r="D32" i="37"/>
  <c r="E16" i="37"/>
  <c r="F16" i="37"/>
  <c r="D53" i="36"/>
  <c r="D57" i="36" s="1"/>
  <c r="D28" i="36"/>
  <c r="D54" i="36" s="1"/>
  <c r="B82" i="35"/>
  <c r="B83" i="35" s="1"/>
  <c r="B61" i="35"/>
  <c r="B86" i="35"/>
  <c r="D85" i="33"/>
  <c r="D67" i="33"/>
  <c r="C32" i="35"/>
  <c r="E15" i="35"/>
  <c r="F15" i="35"/>
  <c r="C16" i="33"/>
  <c r="C32" i="33"/>
  <c r="F15" i="33"/>
  <c r="E15" i="33"/>
  <c r="C82" i="33"/>
  <c r="C86" i="33"/>
  <c r="N15" i="35"/>
  <c r="M14" i="37"/>
  <c r="D57" i="38"/>
  <c r="B57" i="34"/>
  <c r="C21" i="39" s="1"/>
  <c r="G40" i="37"/>
  <c r="G59" i="37"/>
  <c r="E18" i="38"/>
  <c r="E20" i="38" s="1"/>
  <c r="E45" i="38" s="1"/>
  <c r="E18" i="34"/>
  <c r="E20" i="34" s="1"/>
  <c r="E45" i="34" s="1"/>
  <c r="E18" i="36"/>
  <c r="E20" i="36" s="1"/>
  <c r="E45" i="36" s="1"/>
  <c r="E32" i="37"/>
  <c r="E17" i="37"/>
  <c r="F17" i="37"/>
  <c r="G40" i="35"/>
  <c r="G59" i="35"/>
  <c r="C32" i="37"/>
  <c r="E15" i="37"/>
  <c r="F15" i="37"/>
  <c r="H85" i="33"/>
  <c r="H67" i="33"/>
  <c r="C54" i="38"/>
  <c r="C53" i="38"/>
  <c r="B53" i="38" s="1"/>
  <c r="E17" i="39" s="1"/>
  <c r="I16" i="35"/>
  <c r="D60" i="35"/>
  <c r="J16" i="35"/>
  <c r="K16" i="35"/>
  <c r="D49" i="38"/>
  <c r="D20" i="38"/>
  <c r="D45" i="38" s="1"/>
  <c r="L14" i="37"/>
  <c r="C16" i="35"/>
  <c r="N15" i="37"/>
  <c r="N16" i="37" l="1"/>
  <c r="F13" i="39"/>
  <c r="B87" i="37"/>
  <c r="F67" i="37"/>
  <c r="F85" i="37"/>
  <c r="F67" i="35"/>
  <c r="F85" i="35"/>
  <c r="I13" i="39"/>
  <c r="J13" i="39" s="1"/>
  <c r="D67" i="37"/>
  <c r="D85" i="37"/>
  <c r="B36" i="35"/>
  <c r="B41" i="35" s="1"/>
  <c r="B44" i="35" s="1"/>
  <c r="E15" i="36" s="1"/>
  <c r="E17" i="36" s="1"/>
  <c r="J67" i="35"/>
  <c r="J85" i="35"/>
  <c r="D60" i="33"/>
  <c r="K16" i="33"/>
  <c r="I16" i="33"/>
  <c r="J16" i="33"/>
  <c r="I67" i="37"/>
  <c r="I85" i="37"/>
  <c r="K85" i="37"/>
  <c r="K67" i="37"/>
  <c r="G13" i="39"/>
  <c r="H13" i="39" s="1"/>
  <c r="B57" i="38"/>
  <c r="E21" i="39" s="1"/>
  <c r="I21" i="39" s="1"/>
  <c r="H15" i="37"/>
  <c r="M15" i="37" s="1"/>
  <c r="L15" i="37"/>
  <c r="B62" i="35"/>
  <c r="B71" i="35" s="1"/>
  <c r="B63" i="35"/>
  <c r="B69" i="35" s="1"/>
  <c r="B72" i="35" s="1"/>
  <c r="M40" i="35"/>
  <c r="M59" i="35"/>
  <c r="M67" i="35" s="1"/>
  <c r="G85" i="35"/>
  <c r="G67" i="35"/>
  <c r="K67" i="35"/>
  <c r="K85" i="35"/>
  <c r="B35" i="33"/>
  <c r="B43" i="33" s="1"/>
  <c r="B36" i="33"/>
  <c r="B41" i="33" s="1"/>
  <c r="B44" i="33" s="1"/>
  <c r="E15" i="34" s="1"/>
  <c r="E60" i="37"/>
  <c r="K17" i="37"/>
  <c r="I17" i="37"/>
  <c r="J17" i="37"/>
  <c r="N17" i="37" s="1"/>
  <c r="E67" i="35"/>
  <c r="E85" i="35"/>
  <c r="M85" i="35"/>
  <c r="E43" i="38"/>
  <c r="E42" i="38"/>
  <c r="H18" i="37"/>
  <c r="C34" i="33"/>
  <c r="C58" i="33"/>
  <c r="C34" i="35"/>
  <c r="C58" i="35"/>
  <c r="D32" i="35"/>
  <c r="F16" i="35"/>
  <c r="E16" i="35"/>
  <c r="C17" i="35"/>
  <c r="D86" i="35"/>
  <c r="D82" i="35"/>
  <c r="E34" i="37"/>
  <c r="E58" i="37"/>
  <c r="G67" i="37"/>
  <c r="G85" i="37"/>
  <c r="M85" i="37"/>
  <c r="H15" i="33"/>
  <c r="M15" i="33" s="1"/>
  <c r="L15" i="33"/>
  <c r="D34" i="37"/>
  <c r="D58" i="37"/>
  <c r="D29" i="34"/>
  <c r="D32" i="34" s="1"/>
  <c r="D33" i="34" s="1"/>
  <c r="C58" i="37"/>
  <c r="C34" i="37"/>
  <c r="H17" i="37"/>
  <c r="G21" i="39"/>
  <c r="F18" i="34"/>
  <c r="F20" i="34" s="1"/>
  <c r="F45" i="34" s="1"/>
  <c r="F18" i="38"/>
  <c r="F20" i="38" s="1"/>
  <c r="F45" i="38" s="1"/>
  <c r="F18" i="36"/>
  <c r="F20" i="36" s="1"/>
  <c r="F45" i="36" s="1"/>
  <c r="D32" i="33"/>
  <c r="C17" i="33"/>
  <c r="E16" i="33"/>
  <c r="F16" i="33"/>
  <c r="L16" i="37"/>
  <c r="H16" i="37"/>
  <c r="M16" i="37" s="1"/>
  <c r="B79" i="33"/>
  <c r="B61" i="33"/>
  <c r="D82" i="37"/>
  <c r="D86" i="37"/>
  <c r="D29" i="36"/>
  <c r="D32" i="36" s="1"/>
  <c r="D33" i="36" s="1"/>
  <c r="N16" i="35"/>
  <c r="B87" i="35"/>
  <c r="B63" i="37"/>
  <c r="B69" i="37" s="1"/>
  <c r="B72" i="37" s="1"/>
  <c r="B53" i="36"/>
  <c r="D17" i="39" s="1"/>
  <c r="F17" i="39" s="1"/>
  <c r="D29" i="38"/>
  <c r="D32" i="38" s="1"/>
  <c r="D33" i="38" s="1"/>
  <c r="I17" i="39"/>
  <c r="G17" i="39"/>
  <c r="J9" i="39"/>
  <c r="H9" i="39"/>
  <c r="G32" i="37"/>
  <c r="E19" i="37"/>
  <c r="F19" i="37"/>
  <c r="C20" i="37"/>
  <c r="K17" i="35"/>
  <c r="I17" i="35"/>
  <c r="E60" i="35"/>
  <c r="J17" i="35"/>
  <c r="L15" i="35"/>
  <c r="H15" i="35"/>
  <c r="M15" i="35" s="1"/>
  <c r="I67" i="35"/>
  <c r="I85" i="35"/>
  <c r="F34" i="37"/>
  <c r="F58" i="37"/>
  <c r="B57" i="36"/>
  <c r="D21" i="39" s="1"/>
  <c r="E21" i="38"/>
  <c r="M17" i="37" l="1"/>
  <c r="E21" i="36"/>
  <c r="D86" i="33"/>
  <c r="D82" i="33"/>
  <c r="I17" i="33"/>
  <c r="J17" i="33"/>
  <c r="K17" i="33"/>
  <c r="E60" i="33"/>
  <c r="F21" i="39"/>
  <c r="N85" i="37"/>
  <c r="N16" i="33"/>
  <c r="E27" i="34"/>
  <c r="E27" i="36"/>
  <c r="E27" i="38"/>
  <c r="E29" i="38" s="1"/>
  <c r="E30" i="38" s="1"/>
  <c r="E31" i="38" s="1"/>
  <c r="E28" i="38"/>
  <c r="E54" i="38" s="1"/>
  <c r="E23" i="38"/>
  <c r="F79" i="37"/>
  <c r="E28" i="36"/>
  <c r="E23" i="36"/>
  <c r="C79" i="33"/>
  <c r="C61" i="33"/>
  <c r="E17" i="34"/>
  <c r="E21" i="34"/>
  <c r="N17" i="35"/>
  <c r="H32" i="37"/>
  <c r="E20" i="37"/>
  <c r="F20" i="37"/>
  <c r="C21" i="37"/>
  <c r="B84" i="33"/>
  <c r="B81" i="33"/>
  <c r="B83" i="33" s="1"/>
  <c r="H16" i="33"/>
  <c r="M16" i="33" s="1"/>
  <c r="L16" i="33"/>
  <c r="D34" i="35"/>
  <c r="D58" i="35"/>
  <c r="C35" i="35"/>
  <c r="C43" i="35" s="1"/>
  <c r="E86" i="37"/>
  <c r="E82" i="37"/>
  <c r="L17" i="37"/>
  <c r="E86" i="35"/>
  <c r="E82" i="35"/>
  <c r="E32" i="33"/>
  <c r="C18" i="33"/>
  <c r="E17" i="33"/>
  <c r="F17" i="33"/>
  <c r="E79" i="37"/>
  <c r="E61" i="37"/>
  <c r="E32" i="35"/>
  <c r="F17" i="35"/>
  <c r="E17" i="35"/>
  <c r="C18" i="35"/>
  <c r="G34" i="37"/>
  <c r="G58" i="37"/>
  <c r="B62" i="33"/>
  <c r="B71" i="33" s="1"/>
  <c r="H21" i="39"/>
  <c r="J21" i="39"/>
  <c r="C61" i="37"/>
  <c r="C79" i="37"/>
  <c r="D35" i="37"/>
  <c r="D43" i="37" s="1"/>
  <c r="C79" i="35"/>
  <c r="C61" i="35"/>
  <c r="N85" i="35"/>
  <c r="F36" i="37"/>
  <c r="F41" i="37" s="1"/>
  <c r="F44" i="37" s="1"/>
  <c r="I15" i="38" s="1"/>
  <c r="F35" i="37"/>
  <c r="F43" i="37" s="1"/>
  <c r="K18" i="35"/>
  <c r="J18" i="35"/>
  <c r="I18" i="35"/>
  <c r="F60" i="35"/>
  <c r="H19" i="37"/>
  <c r="J17" i="39"/>
  <c r="H17" i="39"/>
  <c r="D34" i="33"/>
  <c r="D58" i="33"/>
  <c r="C35" i="37"/>
  <c r="C43" i="37" s="1"/>
  <c r="D79" i="37"/>
  <c r="D61" i="37"/>
  <c r="E35" i="37"/>
  <c r="E43" i="37" s="1"/>
  <c r="L16" i="35"/>
  <c r="H16" i="35"/>
  <c r="M16" i="35" s="1"/>
  <c r="E43" i="36"/>
  <c r="E42" i="36"/>
  <c r="C35" i="33"/>
  <c r="C43" i="33" s="1"/>
  <c r="K18" i="37"/>
  <c r="J18" i="37"/>
  <c r="M18" i="37" s="1"/>
  <c r="F60" i="37"/>
  <c r="I18" i="37"/>
  <c r="G18" i="38" l="1"/>
  <c r="G20" i="38" s="1"/>
  <c r="G45" i="38" s="1"/>
  <c r="G18" i="34"/>
  <c r="G20" i="34" s="1"/>
  <c r="G45" i="34" s="1"/>
  <c r="G18" i="36"/>
  <c r="G20" i="36" s="1"/>
  <c r="G45" i="36" s="1"/>
  <c r="N17" i="33"/>
  <c r="E82" i="33"/>
  <c r="E86" i="33"/>
  <c r="C36" i="33"/>
  <c r="C41" i="33" s="1"/>
  <c r="C44" i="33" s="1"/>
  <c r="F15" i="34" s="1"/>
  <c r="D36" i="37"/>
  <c r="D41" i="37" s="1"/>
  <c r="D44" i="37" s="1"/>
  <c r="G15" i="38" s="1"/>
  <c r="F60" i="33"/>
  <c r="I18" i="33"/>
  <c r="J18" i="33"/>
  <c r="N18" i="33" s="1"/>
  <c r="K18" i="33"/>
  <c r="E29" i="36"/>
  <c r="E30" i="36" s="1"/>
  <c r="E29" i="34"/>
  <c r="F21" i="34"/>
  <c r="F17" i="34"/>
  <c r="I17" i="38"/>
  <c r="C84" i="35"/>
  <c r="C81" i="35"/>
  <c r="C83" i="35" s="1"/>
  <c r="E34" i="35"/>
  <c r="E58" i="35"/>
  <c r="E34" i="33"/>
  <c r="E58" i="33"/>
  <c r="H34" i="37"/>
  <c r="H58" i="37"/>
  <c r="D81" i="37"/>
  <c r="D83" i="37" s="1"/>
  <c r="D87" i="37" s="1"/>
  <c r="D84" i="37"/>
  <c r="C62" i="37"/>
  <c r="C71" i="37" s="1"/>
  <c r="H17" i="35"/>
  <c r="M17" i="35" s="1"/>
  <c r="L17" i="35"/>
  <c r="E84" i="37"/>
  <c r="E81" i="37"/>
  <c r="E83" i="37" s="1"/>
  <c r="E87" i="37" s="1"/>
  <c r="H17" i="33"/>
  <c r="M17" i="33" s="1"/>
  <c r="L17" i="33"/>
  <c r="D35" i="35"/>
  <c r="D43" i="35" s="1"/>
  <c r="C81" i="33"/>
  <c r="C83" i="33" s="1"/>
  <c r="C87" i="33" s="1"/>
  <c r="C84" i="33"/>
  <c r="F84" i="37"/>
  <c r="F81" i="37"/>
  <c r="E32" i="38"/>
  <c r="E33" i="38" s="1"/>
  <c r="F86" i="37"/>
  <c r="F82" i="37"/>
  <c r="J19" i="35"/>
  <c r="N19" i="35" s="1"/>
  <c r="I19" i="35"/>
  <c r="G60" i="35"/>
  <c r="K19" i="35"/>
  <c r="G21" i="38"/>
  <c r="G17" i="38"/>
  <c r="G35" i="37"/>
  <c r="G43" i="37" s="1"/>
  <c r="G36" i="37"/>
  <c r="G41" i="37" s="1"/>
  <c r="G44" i="37" s="1"/>
  <c r="J15" i="38" s="1"/>
  <c r="D35" i="33"/>
  <c r="D43" i="33" s="1"/>
  <c r="D36" i="33"/>
  <c r="D41" i="33" s="1"/>
  <c r="D44" i="33" s="1"/>
  <c r="G15" i="34" s="1"/>
  <c r="N18" i="37"/>
  <c r="L18" i="37"/>
  <c r="D62" i="37"/>
  <c r="D71" i="37" s="1"/>
  <c r="D61" i="33"/>
  <c r="D79" i="33"/>
  <c r="C81" i="37"/>
  <c r="C83" i="37" s="1"/>
  <c r="C84" i="37"/>
  <c r="F18" i="35"/>
  <c r="E18" i="35"/>
  <c r="F32" i="35"/>
  <c r="C19" i="35"/>
  <c r="E62" i="37"/>
  <c r="E71" i="37" s="1"/>
  <c r="D79" i="35"/>
  <c r="D61" i="35"/>
  <c r="I32" i="37"/>
  <c r="E21" i="37"/>
  <c r="F21" i="37"/>
  <c r="C22" i="37"/>
  <c r="C62" i="33"/>
  <c r="C71" i="33" s="1"/>
  <c r="E49" i="38"/>
  <c r="E50" i="38"/>
  <c r="N18" i="35"/>
  <c r="B63" i="33"/>
  <c r="B69" i="33" s="1"/>
  <c r="B72" i="33" s="1"/>
  <c r="B87" i="33"/>
  <c r="E42" i="34"/>
  <c r="E43" i="34"/>
  <c r="J19" i="37"/>
  <c r="I19" i="37"/>
  <c r="K19" i="37"/>
  <c r="G60" i="37"/>
  <c r="F82" i="35"/>
  <c r="F86" i="35"/>
  <c r="C62" i="35"/>
  <c r="C71" i="35" s="1"/>
  <c r="G61" i="37"/>
  <c r="G79" i="37"/>
  <c r="F32" i="33"/>
  <c r="C19" i="33"/>
  <c r="E18" i="33"/>
  <c r="F18" i="33"/>
  <c r="H20" i="37"/>
  <c r="E28" i="34"/>
  <c r="E23" i="34"/>
  <c r="E50" i="36"/>
  <c r="E49" i="36"/>
  <c r="E36" i="37"/>
  <c r="E41" i="37" s="1"/>
  <c r="E44" i="37" s="1"/>
  <c r="H15" i="38" s="1"/>
  <c r="C36" i="37"/>
  <c r="C41" i="37" s="1"/>
  <c r="C44" i="37" s="1"/>
  <c r="F15" i="38" s="1"/>
  <c r="C36" i="35"/>
  <c r="C41" i="35" s="1"/>
  <c r="C44" i="35" s="1"/>
  <c r="F15" i="36" s="1"/>
  <c r="F61" i="37"/>
  <c r="F86" i="33" l="1"/>
  <c r="F82" i="33"/>
  <c r="H18" i="36"/>
  <c r="H20" i="36" s="1"/>
  <c r="H45" i="36" s="1"/>
  <c r="H18" i="34"/>
  <c r="H20" i="34" s="1"/>
  <c r="H45" i="34" s="1"/>
  <c r="H18" i="38"/>
  <c r="H20" i="38" s="1"/>
  <c r="H45" i="38" s="1"/>
  <c r="C63" i="35"/>
  <c r="C69" i="35" s="1"/>
  <c r="C72" i="35" s="1"/>
  <c r="G60" i="33"/>
  <c r="J19" i="33"/>
  <c r="I19" i="33"/>
  <c r="K19" i="33"/>
  <c r="M19" i="37"/>
  <c r="E32" i="36"/>
  <c r="E31" i="36"/>
  <c r="E54" i="36" s="1"/>
  <c r="E58" i="36" s="1"/>
  <c r="E30" i="34"/>
  <c r="F27" i="38"/>
  <c r="F29" i="38" s="1"/>
  <c r="G81" i="37"/>
  <c r="G84" i="37"/>
  <c r="I20" i="37"/>
  <c r="H60" i="37"/>
  <c r="J20" i="37"/>
  <c r="K20" i="37"/>
  <c r="M20" i="37" s="1"/>
  <c r="L18" i="35"/>
  <c r="H18" i="35"/>
  <c r="M18" i="35" s="1"/>
  <c r="D84" i="33"/>
  <c r="D81" i="33"/>
  <c r="D83" i="33" s="1"/>
  <c r="D87" i="33" s="1"/>
  <c r="G43" i="38"/>
  <c r="G42" i="38"/>
  <c r="H35" i="37"/>
  <c r="H43" i="37" s="1"/>
  <c r="I43" i="38"/>
  <c r="I42" i="38"/>
  <c r="F21" i="36"/>
  <c r="F17" i="36"/>
  <c r="F34" i="33"/>
  <c r="F58" i="33"/>
  <c r="D81" i="35"/>
  <c r="D83" i="35" s="1"/>
  <c r="D84" i="35"/>
  <c r="F34" i="35"/>
  <c r="F58" i="35"/>
  <c r="G82" i="35"/>
  <c r="G86" i="35"/>
  <c r="H79" i="37"/>
  <c r="H61" i="37"/>
  <c r="E79" i="35"/>
  <c r="E61" i="35"/>
  <c r="C87" i="37"/>
  <c r="D63" i="37"/>
  <c r="D69" i="37" s="1"/>
  <c r="D72" i="37" s="1"/>
  <c r="D36" i="35"/>
  <c r="D41" i="35" s="1"/>
  <c r="D44" i="35" s="1"/>
  <c r="G15" i="36" s="1"/>
  <c r="F17" i="38"/>
  <c r="F21" i="38"/>
  <c r="H21" i="37"/>
  <c r="I20" i="35"/>
  <c r="H60" i="35"/>
  <c r="J20" i="35"/>
  <c r="K20" i="35"/>
  <c r="C20" i="33"/>
  <c r="F19" i="33"/>
  <c r="E19" i="33"/>
  <c r="G32" i="33"/>
  <c r="G82" i="37"/>
  <c r="G86" i="37"/>
  <c r="E58" i="38"/>
  <c r="J32" i="37"/>
  <c r="E22" i="37"/>
  <c r="F22" i="37"/>
  <c r="C23" i="37"/>
  <c r="D62" i="35"/>
  <c r="D71" i="35" s="1"/>
  <c r="G32" i="35"/>
  <c r="E19" i="35"/>
  <c r="F19" i="35"/>
  <c r="C20" i="35"/>
  <c r="G21" i="34"/>
  <c r="G17" i="34"/>
  <c r="J17" i="38"/>
  <c r="E36" i="33"/>
  <c r="E41" i="33" s="1"/>
  <c r="E44" i="33" s="1"/>
  <c r="H15" i="34" s="1"/>
  <c r="E35" i="33"/>
  <c r="E43" i="33" s="1"/>
  <c r="F28" i="34"/>
  <c r="F23" i="34"/>
  <c r="E49" i="34"/>
  <c r="E50" i="34"/>
  <c r="E35" i="35"/>
  <c r="E43" i="35" s="1"/>
  <c r="F62" i="37"/>
  <c r="F71" i="37" s="1"/>
  <c r="H17" i="38"/>
  <c r="H21" i="38"/>
  <c r="L18" i="33"/>
  <c r="H18" i="33"/>
  <c r="M18" i="33" s="1"/>
  <c r="G62" i="37"/>
  <c r="G71" i="37" s="1"/>
  <c r="N19" i="37"/>
  <c r="L19" i="37"/>
  <c r="I34" i="37"/>
  <c r="I58" i="37"/>
  <c r="D62" i="33"/>
  <c r="D71" i="33" s="1"/>
  <c r="G28" i="38"/>
  <c r="G23" i="38"/>
  <c r="E61" i="33"/>
  <c r="E79" i="33"/>
  <c r="F43" i="34"/>
  <c r="F42" i="34"/>
  <c r="C63" i="33"/>
  <c r="C69" i="33" s="1"/>
  <c r="C72" i="33" s="1"/>
  <c r="E63" i="37"/>
  <c r="E69" i="37" s="1"/>
  <c r="E72" i="37" s="1"/>
  <c r="F83" i="37"/>
  <c r="F87" i="37" s="1"/>
  <c r="C63" i="37"/>
  <c r="C69" i="37" s="1"/>
  <c r="C72" i="37" s="1"/>
  <c r="C87" i="35"/>
  <c r="H60" i="33" l="1"/>
  <c r="J20" i="33"/>
  <c r="K20" i="33"/>
  <c r="I20" i="33"/>
  <c r="I18" i="34"/>
  <c r="I20" i="34" s="1"/>
  <c r="I45" i="34" s="1"/>
  <c r="I18" i="38"/>
  <c r="I18" i="36"/>
  <c r="I20" i="36" s="1"/>
  <c r="I45" i="36" s="1"/>
  <c r="D63" i="35"/>
  <c r="D69" i="35" s="1"/>
  <c r="D72" i="35" s="1"/>
  <c r="N19" i="33"/>
  <c r="G82" i="33"/>
  <c r="G86" i="33"/>
  <c r="E31" i="34"/>
  <c r="E33" i="34" s="1"/>
  <c r="E33" i="36"/>
  <c r="F27" i="36" s="1"/>
  <c r="F29" i="36" s="1"/>
  <c r="F30" i="36" s="1"/>
  <c r="E32" i="34"/>
  <c r="E81" i="33"/>
  <c r="E83" i="33" s="1"/>
  <c r="E84" i="33"/>
  <c r="I35" i="37"/>
  <c r="I43" i="37" s="1"/>
  <c r="E62" i="33"/>
  <c r="E71" i="33" s="1"/>
  <c r="H28" i="38"/>
  <c r="H23" i="38"/>
  <c r="G28" i="34"/>
  <c r="G23" i="34"/>
  <c r="G34" i="35"/>
  <c r="G58" i="35"/>
  <c r="H19" i="33"/>
  <c r="M19" i="33" s="1"/>
  <c r="L19" i="33"/>
  <c r="N20" i="35"/>
  <c r="E84" i="35"/>
  <c r="E81" i="35"/>
  <c r="E83" i="35" s="1"/>
  <c r="H81" i="37"/>
  <c r="H84" i="37"/>
  <c r="F35" i="35"/>
  <c r="F43" i="35" s="1"/>
  <c r="F35" i="33"/>
  <c r="F43" i="33" s="1"/>
  <c r="N20" i="37"/>
  <c r="L20" i="37"/>
  <c r="D63" i="33"/>
  <c r="D69" i="33" s="1"/>
  <c r="D72" i="33" s="1"/>
  <c r="E36" i="35"/>
  <c r="E41" i="35" s="1"/>
  <c r="E44" i="35" s="1"/>
  <c r="H15" i="36" s="1"/>
  <c r="H36" i="37"/>
  <c r="H41" i="37" s="1"/>
  <c r="H44" i="37" s="1"/>
  <c r="K15" i="38" s="1"/>
  <c r="G83" i="37"/>
  <c r="G87" i="37" s="1"/>
  <c r="H17" i="34"/>
  <c r="H21" i="34"/>
  <c r="G43" i="34"/>
  <c r="G42" i="34"/>
  <c r="G58" i="33"/>
  <c r="G34" i="33"/>
  <c r="F43" i="38"/>
  <c r="F42" i="38"/>
  <c r="E62" i="35"/>
  <c r="E71" i="35" s="1"/>
  <c r="H63" i="37"/>
  <c r="H69" i="37" s="1"/>
  <c r="H72" i="37" s="1"/>
  <c r="H62" i="37"/>
  <c r="H71" i="37" s="1"/>
  <c r="F61" i="35"/>
  <c r="F79" i="35"/>
  <c r="F79" i="33"/>
  <c r="F61" i="33"/>
  <c r="G50" i="38"/>
  <c r="G49" i="38"/>
  <c r="I79" i="37"/>
  <c r="J42" i="38"/>
  <c r="J43" i="38"/>
  <c r="J34" i="37"/>
  <c r="J58" i="37"/>
  <c r="H32" i="33"/>
  <c r="C21" i="33"/>
  <c r="E20" i="33"/>
  <c r="F20" i="33"/>
  <c r="K21" i="35"/>
  <c r="I21" i="35"/>
  <c r="I60" i="35"/>
  <c r="J21" i="35"/>
  <c r="F28" i="38"/>
  <c r="F30" i="38"/>
  <c r="F31" i="38" s="1"/>
  <c r="F23" i="38"/>
  <c r="F28" i="36"/>
  <c r="F23" i="36"/>
  <c r="I60" i="37"/>
  <c r="I61" i="37" s="1"/>
  <c r="K21" i="37"/>
  <c r="I21" i="37"/>
  <c r="J21" i="37"/>
  <c r="G63" i="37"/>
  <c r="G69" i="37" s="1"/>
  <c r="G72" i="37" s="1"/>
  <c r="F63" i="37"/>
  <c r="F69" i="37" s="1"/>
  <c r="F72" i="37" s="1"/>
  <c r="D87" i="35"/>
  <c r="F50" i="34"/>
  <c r="F49" i="34"/>
  <c r="H19" i="35"/>
  <c r="M19" i="35" s="1"/>
  <c r="L19" i="35"/>
  <c r="K32" i="37"/>
  <c r="C24" i="37"/>
  <c r="B23" i="37" s="1"/>
  <c r="H43" i="38"/>
  <c r="H42" i="38"/>
  <c r="F20" i="35"/>
  <c r="E20" i="35"/>
  <c r="H32" i="35"/>
  <c r="C21" i="35"/>
  <c r="H22" i="37"/>
  <c r="H86" i="35"/>
  <c r="H82" i="35"/>
  <c r="G21" i="36"/>
  <c r="G17" i="36"/>
  <c r="F43" i="36"/>
  <c r="F42" i="36"/>
  <c r="H82" i="37"/>
  <c r="H86" i="37"/>
  <c r="M21" i="37"/>
  <c r="I20" i="38" l="1"/>
  <c r="I45" i="38" s="1"/>
  <c r="I21" i="38"/>
  <c r="N21" i="35"/>
  <c r="E63" i="35"/>
  <c r="E69" i="35" s="1"/>
  <c r="E72" i="35" s="1"/>
  <c r="F36" i="33"/>
  <c r="F41" i="33" s="1"/>
  <c r="F44" i="33" s="1"/>
  <c r="I15" i="34" s="1"/>
  <c r="E87" i="33"/>
  <c r="H82" i="33"/>
  <c r="H86" i="33"/>
  <c r="F54" i="38"/>
  <c r="E63" i="33"/>
  <c r="E69" i="33" s="1"/>
  <c r="E72" i="33" s="1"/>
  <c r="N20" i="33"/>
  <c r="J18" i="36"/>
  <c r="J20" i="36" s="1"/>
  <c r="J45" i="36" s="1"/>
  <c r="J18" i="34"/>
  <c r="J20" i="34" s="1"/>
  <c r="J45" i="34" s="1"/>
  <c r="J18" i="38"/>
  <c r="I60" i="33"/>
  <c r="K21" i="33"/>
  <c r="J21" i="33"/>
  <c r="N21" i="33" s="1"/>
  <c r="I21" i="33"/>
  <c r="E54" i="34"/>
  <c r="E58" i="34" s="1"/>
  <c r="F32" i="36"/>
  <c r="F31" i="36"/>
  <c r="F33" i="36" s="1"/>
  <c r="G27" i="36" s="1"/>
  <c r="F27" i="34"/>
  <c r="F32" i="38"/>
  <c r="F33" i="38" s="1"/>
  <c r="G27" i="38" s="1"/>
  <c r="G43" i="36"/>
  <c r="G42" i="36"/>
  <c r="M32" i="37"/>
  <c r="E23" i="37"/>
  <c r="K22" i="35"/>
  <c r="J22" i="35"/>
  <c r="I22" i="35"/>
  <c r="J60" i="35"/>
  <c r="I32" i="33"/>
  <c r="E21" i="33"/>
  <c r="C22" i="33"/>
  <c r="F21" i="33"/>
  <c r="F84" i="33"/>
  <c r="F81" i="33"/>
  <c r="F83" i="33" s="1"/>
  <c r="F87" i="33" s="1"/>
  <c r="K17" i="38"/>
  <c r="G35" i="35"/>
  <c r="G43" i="35" s="1"/>
  <c r="H49" i="38"/>
  <c r="H50" i="38"/>
  <c r="H20" i="33"/>
  <c r="M20" i="33" s="1"/>
  <c r="L20" i="33"/>
  <c r="I62" i="37"/>
  <c r="I71" i="37" s="1"/>
  <c r="G79" i="35"/>
  <c r="G61" i="35"/>
  <c r="I36" i="37"/>
  <c r="I41" i="37" s="1"/>
  <c r="I44" i="37" s="1"/>
  <c r="L15" i="38" s="1"/>
  <c r="L20" i="35"/>
  <c r="H20" i="35"/>
  <c r="M20" i="35" s="1"/>
  <c r="I84" i="37"/>
  <c r="I81" i="37"/>
  <c r="I21" i="34"/>
  <c r="I17" i="34"/>
  <c r="H34" i="35"/>
  <c r="H58" i="35"/>
  <c r="J22" i="37"/>
  <c r="M22" i="37" s="1"/>
  <c r="I22" i="37"/>
  <c r="K22" i="37"/>
  <c r="J60" i="37"/>
  <c r="F50" i="38"/>
  <c r="F49" i="38"/>
  <c r="I86" i="35"/>
  <c r="I82" i="35"/>
  <c r="J35" i="37"/>
  <c r="J43" i="37" s="1"/>
  <c r="F62" i="33"/>
  <c r="F71" i="33" s="1"/>
  <c r="F63" i="33"/>
  <c r="F69" i="33" s="1"/>
  <c r="F72" i="33" s="1"/>
  <c r="I32" i="35"/>
  <c r="F21" i="35"/>
  <c r="E21" i="35"/>
  <c r="C22" i="35"/>
  <c r="K34" i="37"/>
  <c r="K58" i="37"/>
  <c r="N21" i="37"/>
  <c r="L21" i="37"/>
  <c r="F50" i="36"/>
  <c r="F49" i="36"/>
  <c r="J79" i="37"/>
  <c r="F62" i="35"/>
  <c r="F71" i="35" s="1"/>
  <c r="G79" i="33"/>
  <c r="G61" i="33"/>
  <c r="H43" i="34"/>
  <c r="H42" i="34"/>
  <c r="H21" i="36"/>
  <c r="H17" i="36"/>
  <c r="G28" i="36"/>
  <c r="G23" i="36"/>
  <c r="I86" i="37"/>
  <c r="I82" i="37"/>
  <c r="H34" i="33"/>
  <c r="H58" i="33"/>
  <c r="F84" i="35"/>
  <c r="F81" i="35"/>
  <c r="F83" i="35" s="1"/>
  <c r="G36" i="33"/>
  <c r="G41" i="33" s="1"/>
  <c r="G44" i="33" s="1"/>
  <c r="J15" i="34" s="1"/>
  <c r="G35" i="33"/>
  <c r="G43" i="33" s="1"/>
  <c r="H28" i="34"/>
  <c r="H23" i="34"/>
  <c r="G50" i="34"/>
  <c r="G49" i="34"/>
  <c r="F36" i="35"/>
  <c r="F41" i="35" s="1"/>
  <c r="F44" i="35" s="1"/>
  <c r="I15" i="36" s="1"/>
  <c r="E87" i="35"/>
  <c r="F23" i="37"/>
  <c r="H83" i="37"/>
  <c r="H87" i="37" s="1"/>
  <c r="K18" i="38" l="1"/>
  <c r="K18" i="36"/>
  <c r="K20" i="36" s="1"/>
  <c r="K45" i="36" s="1"/>
  <c r="K18" i="34"/>
  <c r="K20" i="34" s="1"/>
  <c r="K45" i="34" s="1"/>
  <c r="J36" i="37"/>
  <c r="J41" i="37" s="1"/>
  <c r="J44" i="37" s="1"/>
  <c r="M15" i="38" s="1"/>
  <c r="M17" i="38" s="1"/>
  <c r="F54" i="36"/>
  <c r="I83" i="37"/>
  <c r="I87" i="37" s="1"/>
  <c r="I63" i="37"/>
  <c r="I69" i="37" s="1"/>
  <c r="I72" i="37" s="1"/>
  <c r="I82" i="33"/>
  <c r="I86" i="33"/>
  <c r="I23" i="38"/>
  <c r="I28" i="38"/>
  <c r="F63" i="35"/>
  <c r="F69" i="35" s="1"/>
  <c r="F72" i="35" s="1"/>
  <c r="I22" i="33"/>
  <c r="J60" i="33"/>
  <c r="J22" i="33"/>
  <c r="N22" i="33" s="1"/>
  <c r="K22" i="33"/>
  <c r="J20" i="38"/>
  <c r="J45" i="38" s="1"/>
  <c r="J21" i="38"/>
  <c r="F29" i="34"/>
  <c r="F30" i="34"/>
  <c r="J21" i="34"/>
  <c r="J17" i="34"/>
  <c r="G50" i="36"/>
  <c r="G49" i="36"/>
  <c r="K79" i="37"/>
  <c r="J86" i="37"/>
  <c r="J82" i="37"/>
  <c r="H61" i="35"/>
  <c r="H79" i="35"/>
  <c r="J23" i="35"/>
  <c r="N23" i="35" s="1"/>
  <c r="N13" i="35" s="1"/>
  <c r="H13" i="35" s="1"/>
  <c r="I23" i="35"/>
  <c r="M82" i="35" s="1"/>
  <c r="K60" i="35"/>
  <c r="K23" i="35"/>
  <c r="H35" i="33"/>
  <c r="H43" i="33" s="1"/>
  <c r="H43" i="36"/>
  <c r="H42" i="36"/>
  <c r="G63" i="33"/>
  <c r="G69" i="33" s="1"/>
  <c r="G72" i="33" s="1"/>
  <c r="G62" i="33"/>
  <c r="G71" i="33" s="1"/>
  <c r="J84" i="37"/>
  <c r="J81" i="37"/>
  <c r="J83" i="37" s="1"/>
  <c r="F22" i="35"/>
  <c r="E22" i="35"/>
  <c r="J32" i="35"/>
  <c r="C23" i="35"/>
  <c r="I23" i="37"/>
  <c r="M82" i="37" s="1"/>
  <c r="J23" i="37"/>
  <c r="L23" i="37" s="1"/>
  <c r="L25" i="37" s="1"/>
  <c r="G50" i="37" s="1"/>
  <c r="K60" i="37"/>
  <c r="K61" i="37" s="1"/>
  <c r="K23" i="37"/>
  <c r="I43" i="34"/>
  <c r="I42" i="34"/>
  <c r="G84" i="35"/>
  <c r="G81" i="35"/>
  <c r="G83" i="35" s="1"/>
  <c r="G87" i="35" s="1"/>
  <c r="K43" i="38"/>
  <c r="K42" i="38"/>
  <c r="J82" i="35"/>
  <c r="J86" i="35"/>
  <c r="G29" i="36"/>
  <c r="H50" i="34"/>
  <c r="H49" i="34"/>
  <c r="H21" i="33"/>
  <c r="M21" i="33" s="1"/>
  <c r="L21" i="33"/>
  <c r="N22" i="35"/>
  <c r="J25" i="35"/>
  <c r="H23" i="37"/>
  <c r="E25" i="37"/>
  <c r="F50" i="37" s="1"/>
  <c r="G29" i="38"/>
  <c r="H28" i="36"/>
  <c r="H23" i="36"/>
  <c r="G81" i="33"/>
  <c r="G83" i="33" s="1"/>
  <c r="G84" i="33"/>
  <c r="H21" i="35"/>
  <c r="M21" i="35" s="1"/>
  <c r="L21" i="35"/>
  <c r="F58" i="38"/>
  <c r="N22" i="37"/>
  <c r="L22" i="37"/>
  <c r="I28" i="34"/>
  <c r="I23" i="34"/>
  <c r="J32" i="33"/>
  <c r="C23" i="33"/>
  <c r="E22" i="33"/>
  <c r="F22" i="33"/>
  <c r="I21" i="36"/>
  <c r="I17" i="36"/>
  <c r="H61" i="33"/>
  <c r="H79" i="33"/>
  <c r="F58" i="36"/>
  <c r="K35" i="37"/>
  <c r="K43" i="37" s="1"/>
  <c r="K36" i="37"/>
  <c r="I34" i="35"/>
  <c r="I58" i="35"/>
  <c r="H35" i="35"/>
  <c r="H43" i="35" s="1"/>
  <c r="L17" i="38"/>
  <c r="G62" i="35"/>
  <c r="G71" i="35" s="1"/>
  <c r="I34" i="33"/>
  <c r="I58" i="33"/>
  <c r="M35" i="37"/>
  <c r="M34" i="37"/>
  <c r="M58" i="37"/>
  <c r="J61" i="37"/>
  <c r="F87" i="35"/>
  <c r="G36" i="35"/>
  <c r="G41" i="35" s="1"/>
  <c r="G44" i="35" s="1"/>
  <c r="J15" i="36" s="1"/>
  <c r="J23" i="33" l="1"/>
  <c r="K60" i="33"/>
  <c r="K23" i="33"/>
  <c r="I23" i="33"/>
  <c r="M82" i="33" s="1"/>
  <c r="I49" i="38"/>
  <c r="I50" i="38"/>
  <c r="J28" i="38"/>
  <c r="J23" i="38"/>
  <c r="J86" i="33"/>
  <c r="J82" i="33"/>
  <c r="L18" i="36"/>
  <c r="L20" i="36" s="1"/>
  <c r="L45" i="36" s="1"/>
  <c r="L18" i="34"/>
  <c r="L20" i="34" s="1"/>
  <c r="L45" i="34" s="1"/>
  <c r="L18" i="38"/>
  <c r="K20" i="38"/>
  <c r="K45" i="38" s="1"/>
  <c r="K21" i="38"/>
  <c r="F31" i="34"/>
  <c r="F54" i="34" s="1"/>
  <c r="F58" i="34" s="1"/>
  <c r="F32" i="34"/>
  <c r="M43" i="37"/>
  <c r="M62" i="37"/>
  <c r="M71" i="37" s="1"/>
  <c r="H50" i="36"/>
  <c r="H49" i="36"/>
  <c r="K82" i="35"/>
  <c r="K86" i="35"/>
  <c r="N86" i="35" s="1"/>
  <c r="M79" i="37"/>
  <c r="M61" i="37"/>
  <c r="M63" i="37" s="1"/>
  <c r="M69" i="37" s="1"/>
  <c r="M72" i="37" s="1"/>
  <c r="L43" i="38"/>
  <c r="L42" i="38"/>
  <c r="I35" i="35"/>
  <c r="I43" i="35" s="1"/>
  <c r="I36" i="35"/>
  <c r="I41" i="35" s="1"/>
  <c r="I44" i="35" s="1"/>
  <c r="L15" i="36" s="1"/>
  <c r="I43" i="36"/>
  <c r="I42" i="36"/>
  <c r="I61" i="33"/>
  <c r="I79" i="33"/>
  <c r="I61" i="35"/>
  <c r="I79" i="35"/>
  <c r="H62" i="33"/>
  <c r="H71" i="33" s="1"/>
  <c r="L22" i="33"/>
  <c r="H22" i="33"/>
  <c r="M22" i="33" s="1"/>
  <c r="G30" i="36"/>
  <c r="K32" i="35"/>
  <c r="C24" i="35"/>
  <c r="B23" i="35" s="1"/>
  <c r="F23" i="35" s="1"/>
  <c r="J43" i="34"/>
  <c r="J42" i="34"/>
  <c r="M23" i="37"/>
  <c r="M25" i="37" s="1"/>
  <c r="G51" i="37" s="1"/>
  <c r="G52" i="37" s="1"/>
  <c r="J87" i="37"/>
  <c r="H62" i="35"/>
  <c r="H71" i="35" s="1"/>
  <c r="K62" i="37"/>
  <c r="K71" i="37" s="1"/>
  <c r="N61" i="37"/>
  <c r="J17" i="36"/>
  <c r="J21" i="36"/>
  <c r="I28" i="36"/>
  <c r="I23" i="36"/>
  <c r="J34" i="33"/>
  <c r="J58" i="33"/>
  <c r="I50" i="34"/>
  <c r="I49" i="34"/>
  <c r="K82" i="37"/>
  <c r="K86" i="37"/>
  <c r="N86" i="37" s="1"/>
  <c r="H22" i="35"/>
  <c r="M22" i="35" s="1"/>
  <c r="L22" i="35"/>
  <c r="H81" i="35"/>
  <c r="H83" i="35" s="1"/>
  <c r="H87" i="35" s="1"/>
  <c r="H84" i="35"/>
  <c r="K81" i="37"/>
  <c r="K84" i="37"/>
  <c r="M36" i="37"/>
  <c r="M41" i="37" s="1"/>
  <c r="M44" i="37" s="1"/>
  <c r="N16" i="38" s="1"/>
  <c r="G63" i="35"/>
  <c r="G69" i="35" s="1"/>
  <c r="G72" i="35" s="1"/>
  <c r="H36" i="35"/>
  <c r="H41" i="35" s="1"/>
  <c r="H44" i="35" s="1"/>
  <c r="K15" i="36" s="1"/>
  <c r="N34" i="37"/>
  <c r="G87" i="33"/>
  <c r="H36" i="33"/>
  <c r="H41" i="33" s="1"/>
  <c r="H44" i="33" s="1"/>
  <c r="K15" i="34" s="1"/>
  <c r="J62" i="37"/>
  <c r="J71" i="37" s="1"/>
  <c r="K41" i="37"/>
  <c r="H84" i="33"/>
  <c r="H81" i="33"/>
  <c r="H83" i="33" s="1"/>
  <c r="G30" i="38"/>
  <c r="N23" i="37"/>
  <c r="N13" i="37" s="1"/>
  <c r="H13" i="37" s="1"/>
  <c r="H25" i="37" s="1"/>
  <c r="F51" i="37" s="1"/>
  <c r="F52" i="37" s="1"/>
  <c r="J25" i="37"/>
  <c r="I35" i="33"/>
  <c r="I43" i="33" s="1"/>
  <c r="C24" i="33"/>
  <c r="B23" i="33" s="1"/>
  <c r="K32" i="33"/>
  <c r="M42" i="38"/>
  <c r="M43" i="38"/>
  <c r="J34" i="35"/>
  <c r="J58" i="35"/>
  <c r="J28" i="34"/>
  <c r="J23" i="34"/>
  <c r="K86" i="33" l="1"/>
  <c r="N86" i="33" s="1"/>
  <c r="K82" i="33"/>
  <c r="J50" i="38"/>
  <c r="J49" i="38"/>
  <c r="I36" i="33"/>
  <c r="I41" i="33" s="1"/>
  <c r="I44" i="33" s="1"/>
  <c r="L15" i="34" s="1"/>
  <c r="G31" i="36"/>
  <c r="G54" i="36"/>
  <c r="G58" i="36" s="1"/>
  <c r="M18" i="38"/>
  <c r="M18" i="34"/>
  <c r="M20" i="34" s="1"/>
  <c r="M45" i="34" s="1"/>
  <c r="M18" i="36"/>
  <c r="M20" i="36" s="1"/>
  <c r="M45" i="36" s="1"/>
  <c r="N22" i="38"/>
  <c r="K28" i="38"/>
  <c r="K23" i="38"/>
  <c r="G31" i="38"/>
  <c r="G54" i="38"/>
  <c r="G58" i="38" s="1"/>
  <c r="J25" i="33"/>
  <c r="N23" i="33"/>
  <c r="F33" i="34"/>
  <c r="G27" i="34" s="1"/>
  <c r="G29" i="34" s="1"/>
  <c r="L20" i="38"/>
  <c r="L45" i="38" s="1"/>
  <c r="L21" i="38"/>
  <c r="N19" i="36"/>
  <c r="N19" i="38"/>
  <c r="N19" i="34"/>
  <c r="G33" i="36"/>
  <c r="G32" i="38"/>
  <c r="G33" i="38" s="1"/>
  <c r="G32" i="36"/>
  <c r="K58" i="35"/>
  <c r="K34" i="35"/>
  <c r="I62" i="35"/>
  <c r="I71" i="35" s="1"/>
  <c r="I81" i="33"/>
  <c r="I83" i="33" s="1"/>
  <c r="I87" i="33" s="1"/>
  <c r="I84" i="33"/>
  <c r="L21" i="36"/>
  <c r="L17" i="36"/>
  <c r="J61" i="35"/>
  <c r="J79" i="35"/>
  <c r="K58" i="33"/>
  <c r="K34" i="33"/>
  <c r="J79" i="33"/>
  <c r="J61" i="33"/>
  <c r="I84" i="35"/>
  <c r="I81" i="35"/>
  <c r="I83" i="35" s="1"/>
  <c r="I87" i="35" s="1"/>
  <c r="H87" i="33"/>
  <c r="J63" i="37"/>
  <c r="J69" i="37" s="1"/>
  <c r="J72" i="37" s="1"/>
  <c r="H63" i="35"/>
  <c r="H69" i="35" s="1"/>
  <c r="H72" i="35" s="1"/>
  <c r="J50" i="34"/>
  <c r="J49" i="34"/>
  <c r="J35" i="35"/>
  <c r="J43" i="35" s="1"/>
  <c r="J36" i="35"/>
  <c r="J41" i="35" s="1"/>
  <c r="J44" i="35" s="1"/>
  <c r="M15" i="36" s="1"/>
  <c r="M32" i="33"/>
  <c r="E23" i="33"/>
  <c r="J35" i="33"/>
  <c r="J43" i="33" s="1"/>
  <c r="J36" i="33"/>
  <c r="J41" i="33" s="1"/>
  <c r="J44" i="33" s="1"/>
  <c r="M15" i="34" s="1"/>
  <c r="J28" i="36"/>
  <c r="J23" i="36"/>
  <c r="M32" i="35"/>
  <c r="E23" i="35"/>
  <c r="F23" i="33"/>
  <c r="L17" i="34"/>
  <c r="L21" i="34"/>
  <c r="K44" i="37"/>
  <c r="N41" i="37"/>
  <c r="K21" i="36"/>
  <c r="K17" i="36"/>
  <c r="K83" i="37"/>
  <c r="K21" i="34"/>
  <c r="K17" i="34"/>
  <c r="I50" i="36"/>
  <c r="I49" i="36"/>
  <c r="J42" i="36"/>
  <c r="J43" i="36"/>
  <c r="I62" i="33"/>
  <c r="I71" i="33" s="1"/>
  <c r="M81" i="37"/>
  <c r="M83" i="37" s="1"/>
  <c r="M84" i="37"/>
  <c r="N84" i="37" s="1"/>
  <c r="N36" i="37"/>
  <c r="K63" i="37"/>
  <c r="H63" i="33"/>
  <c r="H69" i="33" s="1"/>
  <c r="H72" i="33" s="1"/>
  <c r="L28" i="38" l="1"/>
  <c r="L23" i="38"/>
  <c r="I5" i="33"/>
  <c r="J5" i="33" s="1"/>
  <c r="N13" i="33"/>
  <c r="H13" i="33" s="1"/>
  <c r="K50" i="38"/>
  <c r="K49" i="38"/>
  <c r="N18" i="38"/>
  <c r="N20" i="38" s="1"/>
  <c r="N45" i="38" s="1"/>
  <c r="N18" i="36"/>
  <c r="N20" i="36" s="1"/>
  <c r="N45" i="36" s="1"/>
  <c r="B45" i="36" s="1"/>
  <c r="N18" i="34"/>
  <c r="N20" i="34" s="1"/>
  <c r="N45" i="34" s="1"/>
  <c r="B45" i="34" s="1"/>
  <c r="M20" i="38"/>
  <c r="M45" i="38" s="1"/>
  <c r="M21" i="38"/>
  <c r="G30" i="34"/>
  <c r="H27" i="36"/>
  <c r="H27" i="38"/>
  <c r="M34" i="33"/>
  <c r="M35" i="33"/>
  <c r="M58" i="33"/>
  <c r="J84" i="33"/>
  <c r="J81" i="33"/>
  <c r="J83" i="33" s="1"/>
  <c r="J62" i="35"/>
  <c r="J71" i="35" s="1"/>
  <c r="K61" i="35"/>
  <c r="K79" i="35"/>
  <c r="K28" i="34"/>
  <c r="K23" i="34"/>
  <c r="N15" i="38"/>
  <c r="N44" i="37"/>
  <c r="M34" i="35"/>
  <c r="M36" i="35" s="1"/>
  <c r="M41" i="35" s="1"/>
  <c r="M35" i="35"/>
  <c r="M58" i="35"/>
  <c r="H23" i="33"/>
  <c r="L23" i="33"/>
  <c r="L25" i="33" s="1"/>
  <c r="G50" i="33" s="1"/>
  <c r="E25" i="33"/>
  <c r="F50" i="33" s="1"/>
  <c r="J62" i="33"/>
  <c r="J71" i="33" s="1"/>
  <c r="J63" i="33"/>
  <c r="J69" i="33" s="1"/>
  <c r="J72" i="33" s="1"/>
  <c r="J84" i="35"/>
  <c r="J81" i="35"/>
  <c r="J83" i="35" s="1"/>
  <c r="K35" i="35"/>
  <c r="K43" i="35" s="1"/>
  <c r="K36" i="35"/>
  <c r="N34" i="35"/>
  <c r="M87" i="37"/>
  <c r="N81" i="37"/>
  <c r="K43" i="36"/>
  <c r="K42" i="36"/>
  <c r="K69" i="37"/>
  <c r="N63" i="37"/>
  <c r="K43" i="34"/>
  <c r="K42" i="34"/>
  <c r="N83" i="37"/>
  <c r="K87" i="37"/>
  <c r="H23" i="35"/>
  <c r="L23" i="35"/>
  <c r="L25" i="35" s="1"/>
  <c r="G50" i="35" s="1"/>
  <c r="E25" i="35"/>
  <c r="F50" i="35" s="1"/>
  <c r="J50" i="36"/>
  <c r="J49" i="36"/>
  <c r="K79" i="33"/>
  <c r="K61" i="33"/>
  <c r="L23" i="36"/>
  <c r="L28" i="36"/>
  <c r="I63" i="35"/>
  <c r="I69" i="35" s="1"/>
  <c r="I72" i="35" s="1"/>
  <c r="L28" i="34"/>
  <c r="L23" i="34"/>
  <c r="K28" i="36"/>
  <c r="K23" i="36"/>
  <c r="L43" i="34"/>
  <c r="L42" i="34"/>
  <c r="M21" i="34"/>
  <c r="M17" i="34"/>
  <c r="M21" i="36"/>
  <c r="M17" i="36"/>
  <c r="N34" i="33"/>
  <c r="K35" i="33"/>
  <c r="K43" i="33" s="1"/>
  <c r="L42" i="36"/>
  <c r="L43" i="36"/>
  <c r="I63" i="33"/>
  <c r="I69" i="33" s="1"/>
  <c r="I72" i="33" s="1"/>
  <c r="B45" i="38" l="1"/>
  <c r="N87" i="37"/>
  <c r="G31" i="34"/>
  <c r="G54" i="34"/>
  <c r="L49" i="38"/>
  <c r="L50" i="38"/>
  <c r="J63" i="35"/>
  <c r="J69" i="35" s="1"/>
  <c r="J72" i="35" s="1"/>
  <c r="M23" i="38"/>
  <c r="M28" i="38"/>
  <c r="G33" i="34"/>
  <c r="G58" i="34"/>
  <c r="G32" i="34"/>
  <c r="H29" i="36"/>
  <c r="H29" i="38"/>
  <c r="H30" i="38" s="1"/>
  <c r="M43" i="34"/>
  <c r="M42" i="34"/>
  <c r="K50" i="36"/>
  <c r="K49" i="36"/>
  <c r="M28" i="36"/>
  <c r="M23" i="36"/>
  <c r="L50" i="34"/>
  <c r="L49" i="34"/>
  <c r="K63" i="33"/>
  <c r="K62" i="33"/>
  <c r="K71" i="33" s="1"/>
  <c r="M23" i="35"/>
  <c r="M25" i="35" s="1"/>
  <c r="G51" i="35" s="1"/>
  <c r="G52" i="35" s="1"/>
  <c r="H25" i="35"/>
  <c r="F51" i="35" s="1"/>
  <c r="F52" i="35" s="1"/>
  <c r="M43" i="35"/>
  <c r="M44" i="35" s="1"/>
  <c r="N16" i="36" s="1"/>
  <c r="N22" i="36" s="1"/>
  <c r="M62" i="35"/>
  <c r="M71" i="35" s="1"/>
  <c r="K50" i="34"/>
  <c r="K49" i="34"/>
  <c r="K62" i="35"/>
  <c r="K71" i="35" s="1"/>
  <c r="J87" i="35"/>
  <c r="K81" i="33"/>
  <c r="K84" i="33"/>
  <c r="M61" i="35"/>
  <c r="M63" i="35" s="1"/>
  <c r="M69" i="35" s="1"/>
  <c r="M72" i="35" s="1"/>
  <c r="M79" i="35"/>
  <c r="N17" i="38"/>
  <c r="N21" i="38"/>
  <c r="K84" i="35"/>
  <c r="K81" i="35"/>
  <c r="J87" i="33"/>
  <c r="M36" i="33"/>
  <c r="M41" i="33" s="1"/>
  <c r="M61" i="33"/>
  <c r="M79" i="33"/>
  <c r="M43" i="36"/>
  <c r="M42" i="36"/>
  <c r="M28" i="34"/>
  <c r="M23" i="34"/>
  <c r="L50" i="36"/>
  <c r="L49" i="36"/>
  <c r="N69" i="37"/>
  <c r="K72" i="37"/>
  <c r="N72" i="37" s="1"/>
  <c r="K41" i="35"/>
  <c r="N36" i="35"/>
  <c r="M23" i="33"/>
  <c r="M25" i="33" s="1"/>
  <c r="H25" i="33"/>
  <c r="M62" i="33"/>
  <c r="M71" i="33" s="1"/>
  <c r="M43" i="33"/>
  <c r="K36" i="33"/>
  <c r="H31" i="38" l="1"/>
  <c r="H54" i="38" s="1"/>
  <c r="H58" i="38" s="1"/>
  <c r="M49" i="38"/>
  <c r="M50" i="38"/>
  <c r="M63" i="33"/>
  <c r="M69" i="33" s="1"/>
  <c r="M72" i="33" s="1"/>
  <c r="K63" i="35"/>
  <c r="N63" i="35" s="1"/>
  <c r="H27" i="34"/>
  <c r="H30" i="36"/>
  <c r="H32" i="38"/>
  <c r="H33" i="38" s="1"/>
  <c r="I27" i="38" s="1"/>
  <c r="K83" i="33"/>
  <c r="F51" i="33"/>
  <c r="F52" i="33" s="1"/>
  <c r="E5" i="33"/>
  <c r="N43" i="38"/>
  <c r="B43" i="38" s="1"/>
  <c r="E10" i="39" s="1"/>
  <c r="N42" i="38"/>
  <c r="B42" i="38" s="1"/>
  <c r="M49" i="36"/>
  <c r="M50" i="36"/>
  <c r="N61" i="35"/>
  <c r="N61" i="33"/>
  <c r="M50" i="34"/>
  <c r="M49" i="34"/>
  <c r="K69" i="35"/>
  <c r="G51" i="33"/>
  <c r="G52" i="33" s="1"/>
  <c r="L4" i="33"/>
  <c r="L5" i="33" s="1"/>
  <c r="L6" i="33" s="1"/>
  <c r="K83" i="35"/>
  <c r="N81" i="35"/>
  <c r="N36" i="33"/>
  <c r="K41" i="33"/>
  <c r="K44" i="35"/>
  <c r="N41" i="35"/>
  <c r="M84" i="33"/>
  <c r="N84" i="33" s="1"/>
  <c r="M81" i="33"/>
  <c r="M83" i="33" s="1"/>
  <c r="N23" i="38"/>
  <c r="N28" i="38"/>
  <c r="M81" i="35"/>
  <c r="M83" i="35" s="1"/>
  <c r="M84" i="35"/>
  <c r="N84" i="35" s="1"/>
  <c r="N63" i="33"/>
  <c r="K69" i="33"/>
  <c r="M44" i="33"/>
  <c r="N16" i="34" s="1"/>
  <c r="N22" i="34" s="1"/>
  <c r="N81" i="33" l="1"/>
  <c r="H32" i="36"/>
  <c r="H31" i="36"/>
  <c r="H54" i="36" s="1"/>
  <c r="H58" i="36" s="1"/>
  <c r="H29" i="34"/>
  <c r="I29" i="38"/>
  <c r="I30" i="38" s="1"/>
  <c r="K87" i="33"/>
  <c r="N83" i="33"/>
  <c r="N69" i="33"/>
  <c r="K72" i="33"/>
  <c r="N72" i="33" s="1"/>
  <c r="K44" i="33"/>
  <c r="N41" i="33"/>
  <c r="N50" i="38"/>
  <c r="N49" i="38"/>
  <c r="B49" i="38" s="1"/>
  <c r="N15" i="36"/>
  <c r="N44" i="35"/>
  <c r="N83" i="35"/>
  <c r="K87" i="35"/>
  <c r="N87" i="35" s="1"/>
  <c r="M87" i="33"/>
  <c r="M87" i="35"/>
  <c r="N69" i="35"/>
  <c r="K72" i="35"/>
  <c r="N72" i="35" s="1"/>
  <c r="L1" i="33"/>
  <c r="F5" i="33"/>
  <c r="I31" i="38" l="1"/>
  <c r="I54" i="38"/>
  <c r="N87" i="33"/>
  <c r="H33" i="36"/>
  <c r="I27" i="36" s="1"/>
  <c r="H30" i="34"/>
  <c r="I29" i="36"/>
  <c r="I58" i="38"/>
  <c r="I32" i="38"/>
  <c r="N21" i="36"/>
  <c r="N17" i="36"/>
  <c r="B50" i="38"/>
  <c r="E14" i="39" s="1"/>
  <c r="L2" i="33"/>
  <c r="L3" i="33"/>
  <c r="N44" i="33"/>
  <c r="N15" i="34"/>
  <c r="I33" i="38" l="1"/>
  <c r="H32" i="34"/>
  <c r="H31" i="34"/>
  <c r="H33" i="34" s="1"/>
  <c r="I27" i="34" s="1"/>
  <c r="I30" i="36"/>
  <c r="J27" i="38"/>
  <c r="N21" i="34"/>
  <c r="N17" i="34"/>
  <c r="N23" i="36"/>
  <c r="N28" i="36"/>
  <c r="N43" i="36"/>
  <c r="B43" i="36" s="1"/>
  <c r="D10" i="39" s="1"/>
  <c r="F10" i="39" s="1"/>
  <c r="N42" i="36"/>
  <c r="B42" i="36" s="1"/>
  <c r="I31" i="36" l="1"/>
  <c r="I54" i="36"/>
  <c r="I58" i="36" s="1"/>
  <c r="H54" i="34"/>
  <c r="H58" i="34" s="1"/>
  <c r="I29" i="34"/>
  <c r="I32" i="36"/>
  <c r="I33" i="36" s="1"/>
  <c r="J29" i="38"/>
  <c r="J30" i="38" s="1"/>
  <c r="N23" i="34"/>
  <c r="N28" i="34"/>
  <c r="N50" i="36"/>
  <c r="N49" i="36"/>
  <c r="B49" i="36" s="1"/>
  <c r="N43" i="34"/>
  <c r="B43" i="34" s="1"/>
  <c r="C10" i="39" s="1"/>
  <c r="N42" i="34"/>
  <c r="B42" i="34" s="1"/>
  <c r="J31" i="38" l="1"/>
  <c r="J54" i="38"/>
  <c r="I30" i="34"/>
  <c r="J27" i="36"/>
  <c r="J32" i="38"/>
  <c r="J33" i="38" s="1"/>
  <c r="K27" i="38" s="1"/>
  <c r="K29" i="38" s="1"/>
  <c r="J58" i="38"/>
  <c r="N50" i="34"/>
  <c r="N49" i="34"/>
  <c r="B49" i="34" s="1"/>
  <c r="I10" i="39"/>
  <c r="G10" i="39"/>
  <c r="B50" i="36"/>
  <c r="D14" i="39" s="1"/>
  <c r="F14" i="39" s="1"/>
  <c r="I31" i="34" l="1"/>
  <c r="I54" i="34" s="1"/>
  <c r="I58" i="34" s="1"/>
  <c r="I32" i="34"/>
  <c r="I33" i="34" s="1"/>
  <c r="J29" i="36"/>
  <c r="B50" i="34"/>
  <c r="C14" i="39" s="1"/>
  <c r="J10" i="39"/>
  <c r="H10" i="39"/>
  <c r="K30" i="38"/>
  <c r="K31" i="38" l="1"/>
  <c r="K54" i="38"/>
  <c r="K58" i="38" s="1"/>
  <c r="J27" i="34"/>
  <c r="J30" i="36"/>
  <c r="G14" i="39"/>
  <c r="I14" i="39"/>
  <c r="K32" i="38"/>
  <c r="J31" i="36" l="1"/>
  <c r="J54" i="36" s="1"/>
  <c r="J58" i="36" s="1"/>
  <c r="J29" i="34"/>
  <c r="J32" i="36"/>
  <c r="J33" i="36" s="1"/>
  <c r="K33" i="38"/>
  <c r="L27" i="38" s="1"/>
  <c r="H14" i="39"/>
  <c r="J14" i="39"/>
  <c r="J30" i="34" l="1"/>
  <c r="K27" i="36"/>
  <c r="L29" i="38"/>
  <c r="L30" i="38" s="1"/>
  <c r="L31" i="38" l="1"/>
  <c r="L54" i="38" s="1"/>
  <c r="L58" i="38" s="1"/>
  <c r="J31" i="34"/>
  <c r="J54" i="34"/>
  <c r="J58" i="34" s="1"/>
  <c r="J32" i="34"/>
  <c r="J33" i="34" s="1"/>
  <c r="K29" i="36"/>
  <c r="L32" i="38"/>
  <c r="K27" i="34" l="1"/>
  <c r="K30" i="36"/>
  <c r="L33" i="38"/>
  <c r="M27" i="38" s="1"/>
  <c r="K32" i="36" l="1"/>
  <c r="K31" i="36"/>
  <c r="K54" i="36" s="1"/>
  <c r="K58" i="36" s="1"/>
  <c r="K29" i="34"/>
  <c r="M29" i="38"/>
  <c r="M30" i="38" s="1"/>
  <c r="M31" i="38" l="1"/>
  <c r="M54" i="38"/>
  <c r="M58" i="38" s="1"/>
  <c r="K33" i="36"/>
  <c r="L27" i="36" s="1"/>
  <c r="L29" i="36" s="1"/>
  <c r="K30" i="34"/>
  <c r="M32" i="38"/>
  <c r="K31" i="34" l="1"/>
  <c r="K54" i="34" s="1"/>
  <c r="K58" i="34" s="1"/>
  <c r="K32" i="34"/>
  <c r="L30" i="36"/>
  <c r="M33" i="38"/>
  <c r="N27" i="38" s="1"/>
  <c r="K33" i="34" l="1"/>
  <c r="L31" i="36"/>
  <c r="L54" i="36"/>
  <c r="L58" i="36" s="1"/>
  <c r="L27" i="34"/>
  <c r="L32" i="36"/>
  <c r="L33" i="36" s="1"/>
  <c r="N29" i="38"/>
  <c r="N30" i="38" s="1"/>
  <c r="N31" i="38" l="1"/>
  <c r="L29" i="34"/>
  <c r="M27" i="36"/>
  <c r="N32" i="38"/>
  <c r="N33" i="38" l="1"/>
  <c r="L30" i="34"/>
  <c r="M29" i="36"/>
  <c r="N35" i="38"/>
  <c r="D58" i="38"/>
  <c r="L31" i="34" l="1"/>
  <c r="L54" i="34"/>
  <c r="L33" i="34"/>
  <c r="L58" i="34"/>
  <c r="L32" i="34"/>
  <c r="M30" i="36"/>
  <c r="N36" i="38"/>
  <c r="M31" i="36" l="1"/>
  <c r="M54" i="36"/>
  <c r="M58" i="36" s="1"/>
  <c r="N54" i="38"/>
  <c r="N58" i="38" s="1"/>
  <c r="M27" i="34"/>
  <c r="M32" i="36"/>
  <c r="M33" i="36" s="1"/>
  <c r="B54" i="38"/>
  <c r="E18" i="39" s="1"/>
  <c r="M29" i="34" l="1"/>
  <c r="N27" i="36"/>
  <c r="M30" i="34" l="1"/>
  <c r="N29" i="36"/>
  <c r="M32" i="34" l="1"/>
  <c r="M31" i="34"/>
  <c r="M33" i="34" s="1"/>
  <c r="N27" i="34" s="1"/>
  <c r="N30" i="36"/>
  <c r="N31" i="36" l="1"/>
  <c r="M54" i="34"/>
  <c r="M58" i="34" s="1"/>
  <c r="N29" i="34"/>
  <c r="N32" i="36"/>
  <c r="N33" i="36" l="1"/>
  <c r="N30" i="34"/>
  <c r="D58" i="36"/>
  <c r="N31" i="34" l="1"/>
  <c r="N54" i="34" s="1"/>
  <c r="N35" i="36"/>
  <c r="N33" i="34"/>
  <c r="N35" i="34" s="1"/>
  <c r="N36" i="34" s="1"/>
  <c r="N32" i="34"/>
  <c r="N54" i="36" l="1"/>
  <c r="N58" i="36" s="1"/>
  <c r="B58" i="36" s="1"/>
  <c r="D22" i="39" s="1"/>
  <c r="F22" i="39" s="1"/>
  <c r="N36" i="36"/>
  <c r="D58" i="34"/>
  <c r="B54" i="36" l="1"/>
  <c r="D18" i="39" s="1"/>
  <c r="F18" i="39" s="1"/>
  <c r="N58" i="34"/>
  <c r="B58" i="34" s="1"/>
  <c r="C22" i="39" s="1"/>
  <c r="B54" i="34"/>
  <c r="C18" i="39" s="1"/>
  <c r="G22" i="39" l="1"/>
  <c r="I22" i="39"/>
  <c r="G18" i="39"/>
  <c r="I18" i="39"/>
  <c r="J22" i="39" l="1"/>
  <c r="H22" i="39"/>
  <c r="J18" i="39"/>
  <c r="H18" i="39"/>
</calcChain>
</file>

<file path=xl/sharedStrings.xml><?xml version="1.0" encoding="utf-8"?>
<sst xmlns="http://schemas.openxmlformats.org/spreadsheetml/2006/main" count="756" uniqueCount="200">
  <si>
    <t>Year</t>
  </si>
  <si>
    <t>Prop.Val</t>
  </si>
  <si>
    <t>CI</t>
  </si>
  <si>
    <t>shields</t>
  </si>
  <si>
    <t xml:space="preserve"> DTS</t>
  </si>
  <si>
    <t xml:space="preserve"> PATCF</t>
  </si>
  <si>
    <t>LoanBal</t>
  </si>
  <si>
    <t>DS</t>
  </si>
  <si>
    <t>ITS</t>
  </si>
  <si>
    <t xml:space="preserve"> EBTCF</t>
  </si>
  <si>
    <t xml:space="preserve"> EATCF</t>
  </si>
  <si>
    <t>LoanATCF&amp;Val</t>
  </si>
  <si>
    <t>EATCF</t>
  </si>
  <si>
    <t>IRR of above CF Stream  =</t>
  </si>
  <si>
    <t>Property (Before-Debt) Proforma...</t>
  </si>
  <si>
    <t>Oper.</t>
  </si>
  <si>
    <t>Reversion</t>
  </si>
  <si>
    <t>Rever.</t>
  </si>
  <si>
    <t>Operating:</t>
  </si>
  <si>
    <t>Yr.10</t>
  </si>
  <si>
    <t>Item</t>
  </si>
  <si>
    <t>Accrual Items:</t>
  </si>
  <si>
    <t>Sale Price</t>
  </si>
  <si>
    <t>- DE</t>
  </si>
  <si>
    <t>- Book Val</t>
  </si>
  <si>
    <t>=PNIBT</t>
  </si>
  <si>
    <t>=Book Gain</t>
  </si>
  <si>
    <t>- IncTax</t>
  </si>
  <si>
    <t>- CGT</t>
  </si>
  <si>
    <t>=PNIAT</t>
  </si>
  <si>
    <t>=Gain A.T.</t>
  </si>
  <si>
    <t>Adjusting Accrual to Reflect Cash Flow:</t>
  </si>
  <si>
    <t>- CI</t>
  </si>
  <si>
    <t>+DE</t>
  </si>
  <si>
    <t>+ Book Val</t>
  </si>
  <si>
    <t>=PATCF</t>
  </si>
  <si>
    <t>PATCF</t>
  </si>
  <si>
    <t>+ IncTax</t>
  </si>
  <si>
    <t>+ CGT</t>
  </si>
  <si>
    <t>=PBTCF</t>
  </si>
  <si>
    <t>Exhibit 14-2: Example After-Tax Income &amp; Cash Flow Proformas . . .</t>
  </si>
  <si>
    <t>Property Purchase Price (Year 0):</t>
  </si>
  <si>
    <t>Unlevered:</t>
  </si>
  <si>
    <t>Levered:</t>
  </si>
  <si>
    <t>Depreciable Cost Basis:</t>
  </si>
  <si>
    <t>Before-tax IRR:</t>
  </si>
  <si>
    <t>Ordinary Income Tax Rate:</t>
  </si>
  <si>
    <t>After-tax IRR:</t>
  </si>
  <si>
    <t>Capital Gains Tax Rate:</t>
  </si>
  <si>
    <t>Ratio AT/BT:</t>
  </si>
  <si>
    <t>Depreciation Recapture Rate:</t>
  </si>
  <si>
    <t>____________________</t>
  </si>
  <si>
    <t>Item:</t>
  </si>
  <si>
    <t>- Depr.Exp.</t>
  </si>
  <si>
    <t>- Int.Exp.</t>
  </si>
  <si>
    <t>=Net Income (BT)</t>
  </si>
  <si>
    <t>=Net Income (AT)</t>
  </si>
  <si>
    <t>=Gain (AT)</t>
  </si>
  <si>
    <t>- Cap. Imprv. Expdtr.</t>
  </si>
  <si>
    <t>+ Depr.Exp.</t>
  </si>
  <si>
    <t>-DebtAmort</t>
  </si>
  <si>
    <t>-LoanBal</t>
  </si>
  <si>
    <t>=EATCF</t>
  </si>
  <si>
    <t>=EBTCF</t>
  </si>
  <si>
    <t>CASH FLOW COMPONENTS FORMAT</t>
  </si>
  <si>
    <t>- Debt Svc</t>
  </si>
  <si>
    <t>- LoanBal</t>
  </si>
  <si>
    <t>-taxNOI</t>
  </si>
  <si>
    <t>taxMktGain</t>
  </si>
  <si>
    <t>+ DTS</t>
  </si>
  <si>
    <t>- AccDTS</t>
  </si>
  <si>
    <t>+ ITS</t>
  </si>
  <si>
    <t>Devlpt Phase Debt Funding (Constr Loan)</t>
  </si>
  <si>
    <t xml:space="preserve">   Total Devlpt Phase Cash Requirements</t>
  </si>
  <si>
    <t xml:space="preserve">   Devlpt Phase Total Equity Funding</t>
  </si>
  <si>
    <t xml:space="preserve">Note: The preferred equity return described here specifies current earned preferred return, to be compounded, but to be paid from only (but all of) the current operating EBTCF, and the preferred equity capital balance (including earned return) to be paid </t>
  </si>
  <si>
    <t xml:space="preserve">IRR  </t>
  </si>
  <si>
    <t>Preferred Equity Capital Account:</t>
  </si>
  <si>
    <t>Project Level Cash Flows*:</t>
  </si>
  <si>
    <t>* Sometimes referred to as "Asset Level".</t>
  </si>
  <si>
    <t>Entity Level Cash Flows (EBTCF)**:</t>
  </si>
  <si>
    <t>** To the LLC joint venture partnership as a whole.</t>
  </si>
  <si>
    <t>Proposed Permanent Loan Amount (Take Out)</t>
  </si>
  <si>
    <t>PBTCF</t>
  </si>
  <si>
    <t>EBTCF</t>
  </si>
  <si>
    <t>Operating PBTCF</t>
  </si>
  <si>
    <t>Reversion PBTCF</t>
  </si>
  <si>
    <t>Operating EBTCF</t>
  </si>
  <si>
    <t>Reversion EBTCF</t>
  </si>
  <si>
    <t>Preferred Equity Partner Contribution</t>
  </si>
  <si>
    <t>Preferred Return</t>
  </si>
  <si>
    <t>Preferred Partner Residual Share</t>
  </si>
  <si>
    <t>Construction Phase</t>
  </si>
  <si>
    <t>Operational Phase</t>
  </si>
  <si>
    <t>Both Phases</t>
  </si>
  <si>
    <t>Preferred Partner Level Cash Flows:</t>
  </si>
  <si>
    <t>Subordinated Partner Level Cash Flows:</t>
  </si>
  <si>
    <t>Preferred Return Allocation:</t>
  </si>
  <si>
    <t>Debt Investor Cash Flows:</t>
  </si>
  <si>
    <t>Year:</t>
  </si>
  <si>
    <t>Construction Phase (If sell on completion)</t>
  </si>
  <si>
    <t>Permanent Loan Debt Service</t>
  </si>
  <si>
    <t>Permanent Loan Repayment</t>
  </si>
  <si>
    <t>Permanent Loan Debt CFs</t>
  </si>
  <si>
    <t>Reversion Preferred Allocations:</t>
  </si>
  <si>
    <t xml:space="preserve">   Allocation to Return Subordinated Investment Requirement</t>
  </si>
  <si>
    <t>Annual CF approximations for purpose of checking fairness of splits</t>
  </si>
  <si>
    <t>Total</t>
  </si>
  <si>
    <t>Calendar Years Ending:</t>
  </si>
  <si>
    <t xml:space="preserve">   Site Acquisition</t>
  </si>
  <si>
    <t xml:space="preserve">   Hard &amp; Soft Development Costs</t>
  </si>
  <si>
    <t xml:space="preserve">   Accrued But Unpaid Preferred Return</t>
  </si>
  <si>
    <t xml:space="preserve">   Preferred Return Earned</t>
  </si>
  <si>
    <t xml:space="preserve">   Preferred Return Paid</t>
  </si>
  <si>
    <t xml:space="preserve">   Beginning Equity Investment Balance</t>
  </si>
  <si>
    <t xml:space="preserve">   Ending Equity Investment Balance</t>
  </si>
  <si>
    <t xml:space="preserve">   Allocation to Satisfy Preferred Return Requirement</t>
  </si>
  <si>
    <t>Project Cash Requirements as Proposed:</t>
  </si>
  <si>
    <t>NOI</t>
  </si>
  <si>
    <t>Construction Loan Repayment</t>
  </si>
  <si>
    <t xml:space="preserve">   Annual Preferred Investment</t>
  </si>
  <si>
    <t>Permanent Mortgage Interest Rate</t>
  </si>
  <si>
    <t>= Implied IV</t>
  </si>
  <si>
    <t>PV(DTS)=</t>
  </si>
  <si>
    <t>= PV @ EATOCC(M)</t>
  </si>
  <si>
    <t>Apprec.Rate  =</t>
  </si>
  <si>
    <t>Bldg.Val/Prop.Val=</t>
  </si>
  <si>
    <t>Loan=</t>
  </si>
  <si>
    <t xml:space="preserve">Yield  =  </t>
  </si>
  <si>
    <t>Depreciable Life=</t>
  </si>
  <si>
    <t>years</t>
  </si>
  <si>
    <t>Int=</t>
  </si>
  <si>
    <t>Income Tax Rate  =</t>
  </si>
  <si>
    <t>CGTax Rate =</t>
  </si>
  <si>
    <t>Amort/yr</t>
  </si>
  <si>
    <t>Debt Mkt Margl Tax Rate=</t>
  </si>
  <si>
    <t>DepRecapture Rate=</t>
  </si>
  <si>
    <t>(1)</t>
  </si>
  <si>
    <t>(2)</t>
  </si>
  <si>
    <t>(3)</t>
  </si>
  <si>
    <t>(4)</t>
  </si>
  <si>
    <t>(5)</t>
  </si>
  <si>
    <t>(6)</t>
  </si>
  <si>
    <t>(7)</t>
  </si>
  <si>
    <t>(8)</t>
  </si>
  <si>
    <t>(9)</t>
  </si>
  <si>
    <t>(10)</t>
  </si>
  <si>
    <t>(11)</t>
  </si>
  <si>
    <t>(12)</t>
  </si>
  <si>
    <t>(13)</t>
  </si>
  <si>
    <t>tax w/out</t>
  </si>
  <si>
    <t>(4)-(5)+(6)</t>
  </si>
  <si>
    <t xml:space="preserve"> Loan</t>
  </si>
  <si>
    <t>(4)-(9)</t>
  </si>
  <si>
    <t>(7)-(9)+(10)</t>
  </si>
  <si>
    <t>(9)-(10)</t>
  </si>
  <si>
    <t>IRRs:</t>
  </si>
  <si>
    <t>Range:</t>
  </si>
  <si>
    <t>E[RP]:</t>
  </si>
  <si>
    <t>RP/Range:</t>
  </si>
  <si>
    <t>Expctd:</t>
  </si>
  <si>
    <t>Optimstc</t>
  </si>
  <si>
    <t>Pessimstc</t>
  </si>
  <si>
    <t>Riskfree Rate =</t>
  </si>
  <si>
    <t>Downside Range</t>
  </si>
  <si>
    <t>RP/DnsdRange</t>
  </si>
  <si>
    <t>Year 0</t>
  </si>
  <si>
    <t>Year 1</t>
  </si>
  <si>
    <t>Year 2</t>
  </si>
  <si>
    <t>Year 3</t>
  </si>
  <si>
    <t>Year 4</t>
  </si>
  <si>
    <t>Year 5</t>
  </si>
  <si>
    <t>Year 6</t>
  </si>
  <si>
    <t>Year 7</t>
  </si>
  <si>
    <t>Year 8</t>
  </si>
  <si>
    <t>Year 9</t>
  </si>
  <si>
    <t>Year 10</t>
  </si>
  <si>
    <t>Year 11</t>
  </si>
  <si>
    <t xml:space="preserve">Terminal Yield  =  </t>
  </si>
  <si>
    <t>Yield @ completion</t>
  </si>
  <si>
    <t>Yield @ Completion</t>
  </si>
  <si>
    <t>Prop:</t>
  </si>
  <si>
    <t>Loan:</t>
  </si>
  <si>
    <t>PV(margl)=</t>
  </si>
  <si>
    <t>Prop NPV=</t>
  </si>
  <si>
    <t>loan NPV=</t>
  </si>
  <si>
    <t>= PV(margl)Equity</t>
  </si>
  <si>
    <t>= APV(margl)</t>
  </si>
  <si>
    <t>= Implied IV property</t>
  </si>
  <si>
    <t>= NPV EATCFs (margl)</t>
  </si>
  <si>
    <t>Section 14.3 APV Valuation By Components Exhibits Data: Marginal Investor</t>
  </si>
  <si>
    <t>Optimistic CF Projection</t>
  </si>
  <si>
    <t>Pessimistic CF Projection</t>
  </si>
  <si>
    <t>Splits analysis: Optimistic Case</t>
  </si>
  <si>
    <t>Splits analysis: Pessimistic Case</t>
  </si>
  <si>
    <t>Sensitivity Analysis: Ex Post Return Outcome Range &amp; Risk/Return Analysis:</t>
  </si>
  <si>
    <t>Splits analysis: Expected Case</t>
  </si>
  <si>
    <t xml:space="preserve">   Payment of previous earned</t>
  </si>
  <si>
    <t xml:space="preserve">IRR***  </t>
  </si>
  <si>
    <t>*** "-100%" is a label for "total wipe out", not a literal IRR.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</si>
</sst>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8" formatCode="&quot;$&quot;#,##0.00_);[Red]\(&quot;$&quot;#,##0.00\)"/>
    <numFmt numFmtId="164" formatCode="&quot;$&quot;#,##0"/>
    <numFmt numFmtId="165" formatCode="0.0%"/>
    <numFmt numFmtId="166" formatCode="0_);\(0\)"/>
    <numFmt numFmtId="167" formatCode="0.0_)"/>
    <numFmt numFmtId="168" formatCode="0_)"/>
    <numFmt numFmtId="169" formatCode="#,##0.000_);\(#,##0.000\)"/>
  </numFmts>
  <fonts count="25">
    <font>
      <sz val="10"/>
      <name val="Arial"/>
    </font>
    <font>
      <sz val="10"/>
      <name val="Arial"/>
      <family val="2"/>
    </font>
    <font>
      <b/>
      <sz val="10"/>
      <name val="Arial"/>
      <family val="2"/>
    </font>
    <font>
      <sz val="8"/>
      <name val="Arial"/>
      <family val="2"/>
    </font>
    <font>
      <b/>
      <u/>
      <sz val="10"/>
      <name val="Arial"/>
      <family val="2"/>
    </font>
    <font>
      <sz val="10"/>
      <name val="Arial"/>
      <family val="2"/>
    </font>
    <font>
      <u/>
      <sz val="10"/>
      <name val="Arial"/>
      <family val="2"/>
    </font>
    <font>
      <sz val="10"/>
      <color indexed="14"/>
      <name val="Arial"/>
      <family val="2"/>
    </font>
    <font>
      <b/>
      <sz val="10"/>
      <color indexed="14"/>
      <name val="Arial"/>
      <family val="2"/>
    </font>
    <font>
      <b/>
      <i/>
      <sz val="10"/>
      <color indexed="14"/>
      <name val="Times New Roman"/>
      <family val="1"/>
    </font>
    <font>
      <sz val="12"/>
      <name val="Arial MT"/>
    </font>
    <font>
      <sz val="12"/>
      <color indexed="14"/>
      <name val="Arial MT"/>
    </font>
    <font>
      <sz val="14"/>
      <color indexed="14"/>
      <name val="Arial MT"/>
    </font>
    <font>
      <sz val="12"/>
      <color indexed="17"/>
      <name val="Arial MT"/>
    </font>
    <font>
      <sz val="12"/>
      <color indexed="12"/>
      <name val="Arial MT"/>
    </font>
    <font>
      <sz val="12"/>
      <color indexed="10"/>
      <name val="Arial MT"/>
    </font>
    <font>
      <sz val="14"/>
      <name val="Arial MT"/>
    </font>
    <font>
      <sz val="14"/>
      <color indexed="12"/>
      <name val="Arial MT"/>
    </font>
    <font>
      <sz val="14"/>
      <color indexed="17"/>
      <name val="Arial MT"/>
    </font>
    <font>
      <sz val="14"/>
      <color indexed="10"/>
      <name val="Arial MT"/>
    </font>
    <font>
      <sz val="10"/>
      <name val="Arial MT"/>
    </font>
    <font>
      <b/>
      <u/>
      <sz val="18"/>
      <name val="Arial MT"/>
      <family val="2"/>
    </font>
    <font>
      <sz val="11"/>
      <name val="Arial MT"/>
    </font>
    <font>
      <sz val="12"/>
      <name val="Arial"/>
      <family val="2"/>
    </font>
    <font>
      <b/>
      <sz val="16"/>
      <name val="Arial MT"/>
    </font>
  </fonts>
  <fills count="3">
    <fill>
      <patternFill patternType="none"/>
    </fill>
    <fill>
      <patternFill patternType="gray125"/>
    </fill>
    <fill>
      <patternFill patternType="solid">
        <fgColor indexed="43"/>
        <bgColor indexed="64"/>
      </patternFill>
    </fill>
  </fills>
  <borders count="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0" fontId="10" fillId="0" borderId="0"/>
    <xf numFmtId="9" fontId="1" fillId="0" borderId="0" applyFont="0" applyFill="0" applyBorder="0" applyAlignment="0" applyProtection="0"/>
  </cellStyleXfs>
  <cellXfs count="131">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2" fillId="0" borderId="0" xfId="0" applyFont="1" applyBorder="1"/>
    <xf numFmtId="165" fontId="0" fillId="0" borderId="0" xfId="0" applyNumberFormat="1" applyBorder="1"/>
    <xf numFmtId="37" fontId="0" fillId="0" borderId="0" xfId="0" applyNumberFormat="1" applyBorder="1"/>
    <xf numFmtId="10" fontId="0" fillId="0" borderId="0" xfId="0" applyNumberFormat="1" applyBorder="1"/>
    <xf numFmtId="37" fontId="2" fillId="0" borderId="0" xfId="0" applyNumberFormat="1" applyFont="1" applyBorder="1"/>
    <xf numFmtId="0" fontId="2" fillId="0" borderId="0" xfId="0" applyFont="1"/>
    <xf numFmtId="0" fontId="4" fillId="0" borderId="0" xfId="0" applyFont="1" applyBorder="1"/>
    <xf numFmtId="0" fontId="5" fillId="0" borderId="3" xfId="0" applyFont="1" applyBorder="1"/>
    <xf numFmtId="0" fontId="2" fillId="0" borderId="4" xfId="0" applyFont="1" applyBorder="1"/>
    <xf numFmtId="10" fontId="0" fillId="0" borderId="0" xfId="0" applyNumberFormat="1"/>
    <xf numFmtId="37" fontId="5" fillId="0" borderId="0" xfId="0" applyNumberFormat="1" applyFont="1" applyBorder="1"/>
    <xf numFmtId="10" fontId="2" fillId="0" borderId="0" xfId="0" applyNumberFormat="1" applyFont="1"/>
    <xf numFmtId="0" fontId="2" fillId="0" borderId="5" xfId="0" applyFont="1" applyBorder="1"/>
    <xf numFmtId="0" fontId="2" fillId="0" borderId="3" xfId="0" applyFont="1" applyFill="1" applyBorder="1"/>
    <xf numFmtId="0" fontId="5" fillId="0" borderId="1" xfId="0" applyFont="1" applyBorder="1"/>
    <xf numFmtId="0" fontId="5" fillId="0" borderId="0" xfId="0" applyFont="1" applyBorder="1"/>
    <xf numFmtId="10" fontId="5" fillId="0" borderId="0" xfId="0" applyNumberFormat="1" applyFont="1" applyBorder="1"/>
    <xf numFmtId="0" fontId="5" fillId="0" borderId="0" xfId="0" applyFont="1"/>
    <xf numFmtId="0" fontId="6" fillId="0" borderId="0" xfId="0" applyFont="1" applyBorder="1"/>
    <xf numFmtId="37" fontId="5" fillId="0" borderId="0" xfId="0" quotePrefix="1" applyNumberFormat="1" applyFont="1" applyBorder="1"/>
    <xf numFmtId="0" fontId="5" fillId="0" borderId="6" xfId="0" applyFont="1" applyBorder="1"/>
    <xf numFmtId="37" fontId="5" fillId="0" borderId="6" xfId="0" applyNumberFormat="1" applyFont="1" applyBorder="1"/>
    <xf numFmtId="0" fontId="5" fillId="0" borderId="3" xfId="0" applyFont="1" applyFill="1" applyBorder="1"/>
    <xf numFmtId="37" fontId="5" fillId="0" borderId="0" xfId="0" applyNumberFormat="1" applyFont="1"/>
    <xf numFmtId="37" fontId="6" fillId="0" borderId="0" xfId="0" applyNumberFormat="1" applyFont="1" applyBorder="1"/>
    <xf numFmtId="10" fontId="5" fillId="0" borderId="0" xfId="2" applyNumberFormat="1" applyFont="1" applyBorder="1"/>
    <xf numFmtId="10" fontId="5" fillId="0" borderId="1" xfId="0" applyNumberFormat="1" applyFont="1" applyBorder="1"/>
    <xf numFmtId="10" fontId="5" fillId="0" borderId="0" xfId="0" applyNumberFormat="1" applyFont="1"/>
    <xf numFmtId="10" fontId="8" fillId="0" borderId="0" xfId="0" applyNumberFormat="1" applyFont="1" applyBorder="1" applyAlignment="1">
      <alignment horizontal="center"/>
    </xf>
    <xf numFmtId="37" fontId="2" fillId="0" borderId="7" xfId="0" applyNumberFormat="1" applyFont="1" applyBorder="1"/>
    <xf numFmtId="0" fontId="5" fillId="2" borderId="0" xfId="0" applyFont="1" applyFill="1" applyBorder="1"/>
    <xf numFmtId="10" fontId="5" fillId="2" borderId="0" xfId="0" applyNumberFormat="1" applyFont="1" applyFill="1" applyBorder="1"/>
    <xf numFmtId="9" fontId="5" fillId="2" borderId="0" xfId="0" applyNumberFormat="1" applyFont="1" applyFill="1" applyBorder="1"/>
    <xf numFmtId="37" fontId="0" fillId="0" borderId="8" xfId="0" applyNumberFormat="1" applyBorder="1"/>
    <xf numFmtId="37" fontId="9" fillId="0" borderId="8" xfId="0" applyNumberFormat="1" applyFont="1" applyFill="1" applyBorder="1"/>
    <xf numFmtId="10" fontId="5" fillId="0" borderId="8" xfId="0" applyNumberFormat="1" applyFont="1" applyBorder="1"/>
    <xf numFmtId="0" fontId="7" fillId="0" borderId="0" xfId="0" applyFont="1" applyBorder="1"/>
    <xf numFmtId="0" fontId="10" fillId="0" borderId="0" xfId="1"/>
    <xf numFmtId="5" fontId="10" fillId="0" borderId="0" xfId="1" applyNumberFormat="1" applyProtection="1"/>
    <xf numFmtId="5" fontId="11" fillId="0" borderId="0" xfId="1" applyNumberFormat="1" applyFont="1" applyProtection="1"/>
    <xf numFmtId="0" fontId="11" fillId="0" borderId="0" xfId="1" quotePrefix="1" applyFont="1"/>
    <xf numFmtId="10" fontId="10" fillId="0" borderId="0" xfId="1" applyNumberFormat="1"/>
    <xf numFmtId="5" fontId="12" fillId="0" borderId="0" xfId="1" applyNumberFormat="1" applyFont="1" applyProtection="1"/>
    <xf numFmtId="0" fontId="12" fillId="0" borderId="0" xfId="1" quotePrefix="1" applyFont="1"/>
    <xf numFmtId="5" fontId="13" fillId="0" borderId="0" xfId="1" applyNumberFormat="1" applyFont="1"/>
    <xf numFmtId="164" fontId="12" fillId="0" borderId="0" xfId="1" applyNumberFormat="1" applyFont="1"/>
    <xf numFmtId="5" fontId="14" fillId="0" borderId="0" xfId="1" applyNumberFormat="1" applyFont="1" applyProtection="1"/>
    <xf numFmtId="5" fontId="13" fillId="0" borderId="0" xfId="1" applyNumberFormat="1" applyFont="1" applyProtection="1"/>
    <xf numFmtId="0" fontId="15" fillId="0" borderId="0" xfId="1" applyFont="1"/>
    <xf numFmtId="0" fontId="16" fillId="0" borderId="0" xfId="1" applyFont="1"/>
    <xf numFmtId="5" fontId="16" fillId="0" borderId="0" xfId="1" applyNumberFormat="1" applyFont="1" applyProtection="1"/>
    <xf numFmtId="5" fontId="17" fillId="0" borderId="0" xfId="1" applyNumberFormat="1" applyFont="1" applyProtection="1"/>
    <xf numFmtId="5" fontId="18" fillId="0" borderId="0" xfId="1" applyNumberFormat="1" applyFont="1" applyProtection="1"/>
    <xf numFmtId="5" fontId="19" fillId="0" borderId="0" xfId="1" applyNumberFormat="1" applyFont="1" applyProtection="1"/>
    <xf numFmtId="5" fontId="16" fillId="0" borderId="0" xfId="1" applyNumberFormat="1" applyFont="1"/>
    <xf numFmtId="8" fontId="19" fillId="0" borderId="0" xfId="1" applyNumberFormat="1" applyFont="1"/>
    <xf numFmtId="164" fontId="19" fillId="0" borderId="0" xfId="1" applyNumberFormat="1" applyFont="1"/>
    <xf numFmtId="164" fontId="17" fillId="0" borderId="0" xfId="1" applyNumberFormat="1" applyFont="1"/>
    <xf numFmtId="10" fontId="10" fillId="0" borderId="0" xfId="1" applyNumberFormat="1" applyProtection="1"/>
    <xf numFmtId="5" fontId="10" fillId="0" borderId="0" xfId="1" applyNumberFormat="1" applyAlignment="1" applyProtection="1">
      <alignment horizontal="right"/>
    </xf>
    <xf numFmtId="0" fontId="10" fillId="0" borderId="0" xfId="1" applyAlignment="1">
      <alignment horizontal="left"/>
    </xf>
    <xf numFmtId="167" fontId="10" fillId="0" borderId="0" xfId="1" applyNumberFormat="1" applyProtection="1"/>
    <xf numFmtId="2" fontId="10" fillId="0" borderId="0" xfId="1" applyNumberFormat="1"/>
    <xf numFmtId="10" fontId="10" fillId="0" borderId="0" xfId="1" applyNumberFormat="1" applyAlignment="1">
      <alignment horizontal="left"/>
    </xf>
    <xf numFmtId="10" fontId="10" fillId="0" borderId="0" xfId="1" quotePrefix="1" applyNumberFormat="1"/>
    <xf numFmtId="5" fontId="10" fillId="0" borderId="0" xfId="1" applyNumberFormat="1" applyAlignment="1" applyProtection="1">
      <alignment horizontal="center"/>
    </xf>
    <xf numFmtId="0" fontId="10" fillId="0" borderId="0" xfId="1" quotePrefix="1"/>
    <xf numFmtId="5" fontId="10" fillId="0" borderId="0" xfId="1" applyNumberFormat="1" applyAlignment="1" applyProtection="1">
      <alignment horizontal="left"/>
    </xf>
    <xf numFmtId="5" fontId="10" fillId="0" borderId="0" xfId="1" quotePrefix="1" applyNumberFormat="1" applyAlignment="1" applyProtection="1">
      <alignment horizontal="right"/>
    </xf>
    <xf numFmtId="0" fontId="10" fillId="0" borderId="0" xfId="1" applyAlignment="1">
      <alignment horizontal="right"/>
    </xf>
    <xf numFmtId="8" fontId="10" fillId="0" borderId="0" xfId="1" applyNumberFormat="1" applyAlignment="1">
      <alignment horizontal="right"/>
    </xf>
    <xf numFmtId="168" fontId="10" fillId="0" borderId="0" xfId="1" applyNumberFormat="1" applyProtection="1"/>
    <xf numFmtId="5" fontId="20" fillId="0" borderId="0" xfId="1" applyNumberFormat="1" applyFont="1" applyProtection="1"/>
    <xf numFmtId="5" fontId="10" fillId="0" borderId="0" xfId="1" applyNumberFormat="1"/>
    <xf numFmtId="164" fontId="10" fillId="0" borderId="0" xfId="1" applyNumberFormat="1"/>
    <xf numFmtId="164" fontId="10" fillId="0" borderId="0" xfId="1" applyNumberFormat="1" applyAlignment="1">
      <alignment horizontal="right"/>
    </xf>
    <xf numFmtId="10" fontId="10" fillId="0" borderId="0" xfId="1" applyNumberFormat="1" applyAlignment="1">
      <alignment horizontal="right"/>
    </xf>
    <xf numFmtId="0" fontId="21" fillId="0" borderId="0" xfId="1" applyFont="1"/>
    <xf numFmtId="5" fontId="22" fillId="0" borderId="0" xfId="1" applyNumberFormat="1" applyFont="1" applyProtection="1"/>
    <xf numFmtId="169" fontId="10" fillId="0" borderId="0" xfId="1" applyNumberFormat="1" applyProtection="1"/>
    <xf numFmtId="0" fontId="10" fillId="0" borderId="0" xfId="1" applyAlignment="1" applyProtection="1">
      <alignment horizontal="center"/>
    </xf>
    <xf numFmtId="7" fontId="10" fillId="0" borderId="0" xfId="1" applyNumberFormat="1" applyAlignment="1" applyProtection="1">
      <alignment horizontal="right"/>
    </xf>
    <xf numFmtId="2" fontId="0" fillId="0" borderId="0" xfId="0" applyNumberFormat="1"/>
    <xf numFmtId="0" fontId="6" fillId="0" borderId="0" xfId="0" applyFont="1" applyBorder="1" applyAlignment="1">
      <alignment horizontal="center"/>
    </xf>
    <xf numFmtId="0" fontId="6" fillId="0" borderId="0" xfId="0" applyFont="1" applyBorder="1" applyAlignment="1">
      <alignment horizontal="left"/>
    </xf>
    <xf numFmtId="0" fontId="0" fillId="0" borderId="0" xfId="0" applyAlignment="1">
      <alignment horizontal="center"/>
    </xf>
    <xf numFmtId="37" fontId="5" fillId="0" borderId="0" xfId="0" applyNumberFormat="1" applyFont="1" applyBorder="1" applyAlignment="1">
      <alignment horizontal="center"/>
    </xf>
    <xf numFmtId="37" fontId="0" fillId="0" borderId="0" xfId="0" applyNumberFormat="1" applyBorder="1" applyAlignment="1">
      <alignment horizontal="center"/>
    </xf>
    <xf numFmtId="0" fontId="0" fillId="0" borderId="4" xfId="0" applyBorder="1" applyAlignment="1">
      <alignment horizontal="center"/>
    </xf>
    <xf numFmtId="10" fontId="5" fillId="0" borderId="0" xfId="0" applyNumberFormat="1" applyFont="1" applyFill="1" applyBorder="1"/>
    <xf numFmtId="0" fontId="5" fillId="0" borderId="0" xfId="0" applyFont="1" applyFill="1" applyBorder="1"/>
    <xf numFmtId="37" fontId="5" fillId="0" borderId="0" xfId="0" applyNumberFormat="1" applyFont="1" applyFill="1" applyBorder="1"/>
    <xf numFmtId="0" fontId="0" fillId="0" borderId="0" xfId="0" applyFill="1"/>
    <xf numFmtId="10" fontId="0" fillId="0" borderId="0" xfId="0" applyNumberFormat="1" applyFill="1" applyBorder="1" applyAlignment="1">
      <alignment horizontal="right"/>
    </xf>
    <xf numFmtId="166" fontId="0" fillId="0" borderId="0" xfId="0" applyNumberFormat="1" applyFill="1" applyBorder="1" applyAlignment="1">
      <alignment horizontal="center"/>
    </xf>
    <xf numFmtId="10" fontId="2" fillId="0" borderId="0" xfId="0" applyNumberFormat="1" applyFont="1" applyFill="1" applyBorder="1" applyAlignment="1">
      <alignment horizontal="right"/>
    </xf>
    <xf numFmtId="0" fontId="0" fillId="0" borderId="3" xfId="0" applyFill="1" applyBorder="1"/>
    <xf numFmtId="10" fontId="2" fillId="0" borderId="0" xfId="0" applyNumberFormat="1" applyFont="1" applyFill="1" applyBorder="1"/>
    <xf numFmtId="37" fontId="0" fillId="0" borderId="0" xfId="0" applyNumberFormat="1" applyFill="1" applyBorder="1"/>
    <xf numFmtId="0" fontId="0" fillId="0" borderId="0" xfId="0" applyFill="1" applyBorder="1"/>
    <xf numFmtId="10" fontId="2" fillId="0" borderId="0" xfId="0" applyNumberFormat="1" applyFont="1" applyFill="1"/>
    <xf numFmtId="0" fontId="10" fillId="0" borderId="0" xfId="1" applyFont="1"/>
    <xf numFmtId="37" fontId="0" fillId="0" borderId="0" xfId="0" applyNumberFormat="1"/>
    <xf numFmtId="5" fontId="14" fillId="0" borderId="0" xfId="0" applyNumberFormat="1" applyFont="1" applyProtection="1"/>
    <xf numFmtId="5" fontId="0" fillId="0" borderId="0" xfId="0" applyNumberFormat="1" applyProtection="1"/>
    <xf numFmtId="5" fontId="15" fillId="0" borderId="0" xfId="0" applyNumberFormat="1" applyFont="1" applyProtection="1"/>
    <xf numFmtId="5" fontId="13" fillId="0" borderId="0" xfId="0" applyNumberFormat="1" applyFont="1" applyAlignment="1" applyProtection="1">
      <alignment horizontal="right"/>
    </xf>
    <xf numFmtId="0" fontId="15" fillId="0" borderId="0" xfId="0" applyFont="1"/>
    <xf numFmtId="5" fontId="15" fillId="0" borderId="0" xfId="0" quotePrefix="1" applyNumberFormat="1" applyFont="1" applyAlignment="1" applyProtection="1">
      <alignment horizontal="right"/>
    </xf>
    <xf numFmtId="5" fontId="17" fillId="0" borderId="0" xfId="0" applyNumberFormat="1" applyFont="1" applyProtection="1"/>
    <xf numFmtId="5" fontId="18" fillId="0" borderId="0" xfId="0" applyNumberFormat="1" applyFont="1" applyProtection="1"/>
    <xf numFmtId="5" fontId="16" fillId="0" borderId="0" xfId="0" applyNumberFormat="1" applyFont="1" applyProtection="1"/>
    <xf numFmtId="5" fontId="19" fillId="0" borderId="0" xfId="0" applyNumberFormat="1" applyFont="1" applyProtection="1"/>
    <xf numFmtId="5" fontId="23" fillId="0" borderId="0" xfId="0" applyNumberFormat="1" applyFont="1"/>
    <xf numFmtId="5" fontId="11" fillId="0" borderId="0" xfId="0" applyNumberFormat="1" applyFont="1" applyProtection="1"/>
    <xf numFmtId="0" fontId="11" fillId="0" borderId="0" xfId="0" quotePrefix="1" applyFont="1"/>
    <xf numFmtId="5" fontId="13" fillId="0" borderId="0" xfId="0" applyNumberFormat="1" applyFont="1"/>
    <xf numFmtId="164" fontId="12" fillId="0" borderId="0" xfId="0" applyNumberFormat="1" applyFont="1"/>
    <xf numFmtId="164" fontId="19" fillId="0" borderId="0" xfId="0" applyNumberFormat="1" applyFont="1"/>
    <xf numFmtId="164" fontId="17" fillId="0" borderId="0" xfId="0" applyNumberFormat="1" applyFont="1"/>
    <xf numFmtId="0" fontId="24" fillId="0" borderId="0" xfId="0" applyFont="1"/>
    <xf numFmtId="0" fontId="24" fillId="0" borderId="0" xfId="1" applyFont="1"/>
    <xf numFmtId="0" fontId="0" fillId="0" borderId="0" xfId="0" applyFont="1" applyFill="1" applyBorder="1"/>
    <xf numFmtId="37" fontId="1" fillId="0" borderId="0" xfId="0" applyNumberFormat="1" applyFont="1" applyFill="1" applyBorder="1"/>
    <xf numFmtId="37" fontId="0" fillId="0" borderId="0" xfId="0" applyNumberFormat="1" applyAlignment="1">
      <alignment horizontal="center"/>
    </xf>
  </cellXfs>
  <cellStyles count="3">
    <cellStyle name="Normal" xfId="0" builtinId="0"/>
    <cellStyle name="Normal_GM 2e Ch14_exh"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avid/My%20Documents/Teaching/431f05/Lincoln%20Case%20Stuff/Sam-McK_LAND_Form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McK Formula"/>
      <sheetName val="Charts"/>
      <sheetName val="Comparisons"/>
    </sheetNames>
    <sheetDataSet>
      <sheetData sheetId="0"/>
      <sheetData sheetId="1">
        <row r="4">
          <cell r="L4">
            <v>0.15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6"/>
  <sheetViews>
    <sheetView tabSelected="1" workbookViewId="0">
      <pane xSplit="1" topLeftCell="B1" activePane="topRight" state="frozen"/>
      <selection pane="topRight"/>
    </sheetView>
  </sheetViews>
  <sheetFormatPr defaultRowHeight="13.2"/>
  <cols>
    <col min="1" max="1" width="39.109375" customWidth="1"/>
    <col min="2" max="2" width="10.88671875" bestFit="1" customWidth="1"/>
    <col min="3" max="3" width="10.33203125" style="15" bestFit="1" customWidth="1"/>
    <col min="4" max="4" width="10.109375" bestFit="1" customWidth="1"/>
    <col min="5" max="5" width="10.33203125" bestFit="1" customWidth="1"/>
    <col min="6" max="6" width="8.6640625" bestFit="1" customWidth="1"/>
    <col min="7" max="7" width="8.109375" bestFit="1" customWidth="1"/>
    <col min="8" max="8" width="9.6640625" bestFit="1" customWidth="1"/>
    <col min="9" max="13" width="8.109375" bestFit="1" customWidth="1"/>
    <col min="14" max="14" width="10.44140625" customWidth="1"/>
    <col min="15" max="15" width="10.5546875" customWidth="1"/>
    <col min="16" max="17" width="8.109375" bestFit="1" customWidth="1"/>
    <col min="19" max="19" width="2.6640625" customWidth="1"/>
  </cols>
  <sheetData>
    <row r="1" spans="1:19">
      <c r="A1" s="18" t="s">
        <v>196</v>
      </c>
      <c r="B1" s="20" t="s">
        <v>75</v>
      </c>
      <c r="C1" s="32"/>
      <c r="D1" s="20"/>
      <c r="E1" s="20"/>
      <c r="F1" s="20"/>
      <c r="G1" s="20"/>
      <c r="H1" s="20"/>
      <c r="I1" s="20"/>
      <c r="J1" s="20"/>
      <c r="K1" s="20"/>
      <c r="L1" s="20"/>
      <c r="M1" s="20"/>
      <c r="N1" s="20"/>
      <c r="O1" s="20"/>
      <c r="P1" s="20"/>
      <c r="Q1" s="1"/>
      <c r="R1" s="1"/>
      <c r="S1" s="2"/>
    </row>
    <row r="2" spans="1:19">
      <c r="A2" s="36" t="s">
        <v>121</v>
      </c>
      <c r="B2" s="37">
        <f>'MarglInvestrAPVvaluationEx14-6'!J7</f>
        <v>5.5E-2</v>
      </c>
      <c r="C2" s="41"/>
      <c r="D2" s="21"/>
      <c r="E2" s="21"/>
      <c r="F2" s="21"/>
      <c r="G2" s="21"/>
      <c r="H2" s="21"/>
      <c r="I2" s="21"/>
      <c r="J2" s="21"/>
      <c r="K2" s="21"/>
      <c r="L2" s="21"/>
      <c r="M2" s="21"/>
      <c r="N2" s="21"/>
      <c r="O2" s="21"/>
      <c r="P2" s="21"/>
      <c r="Q2" s="4"/>
      <c r="R2" s="4"/>
      <c r="S2" s="5"/>
    </row>
    <row r="3" spans="1:19">
      <c r="A3" s="36" t="s">
        <v>89</v>
      </c>
      <c r="B3" s="38">
        <f>'Sens Ana &amp; Fairness'!B2</f>
        <v>0.9</v>
      </c>
      <c r="C3" s="41"/>
      <c r="D3" s="42"/>
      <c r="E3" s="21"/>
      <c r="F3" s="21"/>
      <c r="G3" s="21"/>
      <c r="H3" s="21"/>
      <c r="I3" s="21"/>
      <c r="J3" s="21"/>
      <c r="K3" s="21"/>
      <c r="L3" s="21"/>
      <c r="M3" s="21"/>
      <c r="N3" s="21"/>
      <c r="O3" s="21"/>
      <c r="P3" s="21"/>
      <c r="Q3" s="4"/>
      <c r="R3" s="4"/>
      <c r="S3" s="5"/>
    </row>
    <row r="4" spans="1:19">
      <c r="A4" s="36" t="s">
        <v>90</v>
      </c>
      <c r="B4" s="37">
        <f>'Sens Ana &amp; Fairness'!B3</f>
        <v>0.06</v>
      </c>
      <c r="C4" s="41"/>
      <c r="D4" s="21"/>
      <c r="E4" s="21"/>
      <c r="F4" s="21"/>
      <c r="G4" s="21"/>
      <c r="H4" s="21"/>
      <c r="I4" s="21"/>
      <c r="J4" s="21"/>
      <c r="K4" s="21"/>
      <c r="L4" s="21"/>
      <c r="M4" s="21"/>
      <c r="N4" s="21"/>
      <c r="O4" s="21"/>
      <c r="P4" s="21"/>
      <c r="Q4" s="4"/>
      <c r="R4" s="4"/>
      <c r="S4" s="5"/>
    </row>
    <row r="5" spans="1:19">
      <c r="A5" s="36" t="s">
        <v>91</v>
      </c>
      <c r="B5" s="38">
        <f>'Sens Ana &amp; Fairness'!B4</f>
        <v>0.5</v>
      </c>
      <c r="C5" s="41"/>
      <c r="D5" s="21"/>
      <c r="E5" s="21"/>
      <c r="F5" s="21"/>
      <c r="G5" s="21"/>
      <c r="H5" s="21"/>
      <c r="I5" s="21"/>
      <c r="J5" s="21"/>
      <c r="K5" s="21"/>
      <c r="L5" s="21"/>
      <c r="M5" s="21"/>
      <c r="N5" s="21"/>
      <c r="O5" s="21"/>
      <c r="P5" s="21"/>
      <c r="Q5" s="4"/>
      <c r="R5" s="4"/>
      <c r="S5" s="5"/>
    </row>
    <row r="6" spans="1:19">
      <c r="A6" s="13" t="s">
        <v>108</v>
      </c>
      <c r="B6" s="22"/>
      <c r="C6" s="90" t="s">
        <v>166</v>
      </c>
      <c r="D6" s="90" t="s">
        <v>167</v>
      </c>
      <c r="E6" s="90" t="s">
        <v>168</v>
      </c>
      <c r="F6" s="90" t="s">
        <v>169</v>
      </c>
      <c r="G6" s="90" t="s">
        <v>170</v>
      </c>
      <c r="H6" s="90" t="s">
        <v>171</v>
      </c>
      <c r="I6" s="90" t="s">
        <v>172</v>
      </c>
      <c r="J6" s="90" t="s">
        <v>173</v>
      </c>
      <c r="K6" s="90" t="s">
        <v>174</v>
      </c>
      <c r="L6" s="90" t="s">
        <v>175</v>
      </c>
      <c r="M6" s="90" t="s">
        <v>176</v>
      </c>
      <c r="N6" s="90" t="s">
        <v>177</v>
      </c>
      <c r="P6" s="24"/>
      <c r="Q6" s="12"/>
      <c r="R6" s="12"/>
      <c r="S6" s="5"/>
    </row>
    <row r="7" spans="1:19">
      <c r="A7" s="13" t="s">
        <v>117</v>
      </c>
      <c r="B7" s="22"/>
      <c r="C7" s="21"/>
      <c r="D7" s="16"/>
      <c r="E7" s="16"/>
      <c r="F7" s="16"/>
      <c r="G7" s="16"/>
      <c r="H7" s="16"/>
      <c r="I7" s="16"/>
      <c r="J7" s="16"/>
      <c r="K7" s="16"/>
      <c r="L7" s="16"/>
      <c r="M7" s="16"/>
      <c r="N7" s="16"/>
      <c r="P7" s="16"/>
      <c r="Q7" s="8"/>
      <c r="R7" s="8"/>
      <c r="S7" s="5"/>
    </row>
    <row r="8" spans="1:19">
      <c r="A8" s="13" t="s">
        <v>109</v>
      </c>
      <c r="B8" s="22"/>
      <c r="C8" s="25">
        <f>'MarglInvestrAPVvaluationEx14-6'!B13*(1-'MarglInvestrAPVvaluationEx14-6'!G6)</f>
        <v>199999.99999999994</v>
      </c>
      <c r="D8" s="25"/>
      <c r="E8" s="16"/>
      <c r="F8" s="16"/>
      <c r="G8" s="16"/>
      <c r="H8" s="16"/>
      <c r="I8" s="16"/>
      <c r="J8" s="16"/>
      <c r="K8" s="16"/>
      <c r="L8" s="16"/>
      <c r="M8" s="16"/>
      <c r="N8" s="16"/>
      <c r="P8" s="16"/>
      <c r="Q8" s="8"/>
      <c r="R8" s="8"/>
      <c r="S8" s="5"/>
    </row>
    <row r="9" spans="1:19">
      <c r="A9" s="13" t="s">
        <v>110</v>
      </c>
      <c r="B9" s="22"/>
      <c r="C9" s="26"/>
      <c r="D9" s="27">
        <f>'MarglInvestrAPVvaluationEx14-6'!J6</f>
        <v>750000</v>
      </c>
      <c r="E9" s="16"/>
      <c r="F9" s="16"/>
      <c r="G9" s="16"/>
      <c r="H9" s="21"/>
      <c r="I9" s="16"/>
      <c r="J9" s="16"/>
      <c r="K9" s="16"/>
      <c r="L9" s="16"/>
      <c r="M9" s="16"/>
      <c r="N9" s="16"/>
      <c r="P9" s="16"/>
      <c r="Q9" s="8"/>
      <c r="R9" s="8"/>
      <c r="S9" s="5"/>
    </row>
    <row r="10" spans="1:19">
      <c r="A10" s="13" t="s">
        <v>73</v>
      </c>
      <c r="B10" s="22"/>
      <c r="C10" s="16">
        <f>-SUM(C8:C9)</f>
        <v>-199999.99999999994</v>
      </c>
      <c r="D10" s="16">
        <f>-SUM(D8:D9)</f>
        <v>-750000</v>
      </c>
      <c r="E10" s="16"/>
      <c r="F10" s="16"/>
      <c r="G10" s="16"/>
      <c r="H10" s="16"/>
      <c r="I10" s="16"/>
      <c r="J10" s="16"/>
      <c r="K10" s="16"/>
      <c r="L10" s="16"/>
      <c r="M10" s="16"/>
      <c r="N10" s="16"/>
      <c r="P10" s="16"/>
      <c r="Q10" s="8"/>
      <c r="R10" s="8"/>
      <c r="S10" s="5"/>
    </row>
    <row r="11" spans="1:19">
      <c r="A11" s="13" t="s">
        <v>74</v>
      </c>
      <c r="B11" s="22"/>
      <c r="C11" s="16">
        <f>-C10</f>
        <v>199999.99999999994</v>
      </c>
      <c r="D11" s="16"/>
      <c r="E11" s="16"/>
      <c r="F11" s="16"/>
      <c r="G11" s="16"/>
      <c r="H11" s="16"/>
      <c r="I11" s="16"/>
      <c r="J11" s="16"/>
      <c r="K11" s="16"/>
      <c r="L11" s="16"/>
      <c r="M11" s="16"/>
      <c r="N11" s="16"/>
      <c r="P11" s="16"/>
      <c r="Q11" s="8"/>
      <c r="R11" s="8"/>
      <c r="S11" s="5"/>
    </row>
    <row r="12" spans="1:19">
      <c r="A12" s="13" t="s">
        <v>72</v>
      </c>
      <c r="B12" s="22"/>
      <c r="C12" s="21"/>
      <c r="D12" s="16">
        <f>-D10</f>
        <v>750000</v>
      </c>
      <c r="E12" s="16"/>
      <c r="F12" s="16"/>
      <c r="G12" s="16"/>
      <c r="H12" s="16"/>
      <c r="I12" s="16"/>
      <c r="J12" s="16"/>
      <c r="K12" s="16"/>
      <c r="L12" s="16"/>
      <c r="M12" s="16"/>
      <c r="N12" s="16"/>
      <c r="P12" s="16"/>
      <c r="Q12" s="8"/>
      <c r="R12" s="8"/>
      <c r="S12" s="5"/>
    </row>
    <row r="13" spans="1:19">
      <c r="A13" s="13" t="s">
        <v>119</v>
      </c>
      <c r="B13" s="22"/>
      <c r="C13" s="21"/>
      <c r="D13" s="16">
        <f>-D12</f>
        <v>-750000</v>
      </c>
      <c r="E13" s="16"/>
      <c r="F13" s="16"/>
      <c r="G13" s="16"/>
      <c r="H13" s="16"/>
      <c r="I13" s="16"/>
      <c r="J13" s="16"/>
      <c r="K13" s="16"/>
      <c r="L13" s="16"/>
      <c r="M13" s="16"/>
      <c r="N13" s="16"/>
      <c r="P13" s="16"/>
      <c r="Q13" s="8"/>
      <c r="R13" s="8"/>
      <c r="S13" s="5"/>
    </row>
    <row r="14" spans="1:19">
      <c r="A14" s="13" t="s">
        <v>82</v>
      </c>
      <c r="B14" s="22"/>
      <c r="C14" s="21"/>
      <c r="D14" s="16">
        <f>-D13</f>
        <v>750000</v>
      </c>
      <c r="E14" s="16"/>
      <c r="F14" s="16"/>
      <c r="G14" s="16"/>
      <c r="H14" s="16"/>
      <c r="I14" s="16"/>
      <c r="J14" s="16"/>
      <c r="K14" s="16"/>
      <c r="L14" s="16"/>
      <c r="M14" s="16"/>
      <c r="N14" s="16"/>
      <c r="P14" s="16"/>
      <c r="Q14" s="8"/>
      <c r="R14" s="8"/>
      <c r="S14" s="5"/>
    </row>
    <row r="15" spans="1:19">
      <c r="A15" s="13" t="s">
        <v>85</v>
      </c>
      <c r="B15" s="22"/>
      <c r="C15" s="21"/>
      <c r="D15" s="16"/>
      <c r="E15" s="16">
        <f>'MarglInvestrAPVvaluationEx14-6'!B44</f>
        <v>59999.999999999993</v>
      </c>
      <c r="F15" s="16">
        <f>'MarglInvestrAPVvaluationEx14-6'!C44</f>
        <v>60599.999999999993</v>
      </c>
      <c r="G15" s="16">
        <f>'MarglInvestrAPVvaluationEx14-6'!D44</f>
        <v>11205.999999999998</v>
      </c>
      <c r="H15" s="16">
        <f>'MarglInvestrAPVvaluationEx14-6'!E44</f>
        <v>61818.06</v>
      </c>
      <c r="I15" s="16">
        <f>'MarglInvestrAPVvaluationEx14-6'!F44</f>
        <v>62436.24059999999</v>
      </c>
      <c r="J15" s="16">
        <f>'MarglInvestrAPVvaluationEx14-6'!G44</f>
        <v>63060.603005999998</v>
      </c>
      <c r="K15" s="16">
        <f>'MarglInvestrAPVvaluationEx14-6'!H44</f>
        <v>63691.209036059998</v>
      </c>
      <c r="L15" s="16">
        <f>'MarglInvestrAPVvaluationEx14-6'!I44</f>
        <v>14328.121126420598</v>
      </c>
      <c r="M15" s="16">
        <f>'MarglInvestrAPVvaluationEx14-6'!J44</f>
        <v>64971.402337684805</v>
      </c>
      <c r="N15" s="16">
        <f>'MarglInvestrAPVvaluationEx14-6'!K44</f>
        <v>65621.11636106165</v>
      </c>
      <c r="P15" s="16"/>
      <c r="Q15" s="8"/>
      <c r="R15" s="8"/>
      <c r="S15" s="5"/>
    </row>
    <row r="16" spans="1:19">
      <c r="A16" s="13" t="s">
        <v>86</v>
      </c>
      <c r="B16" s="22"/>
      <c r="C16" s="21"/>
      <c r="D16" s="16"/>
      <c r="E16" s="27">
        <f>0</f>
        <v>0</v>
      </c>
      <c r="F16" s="27">
        <f>0</f>
        <v>0</v>
      </c>
      <c r="G16" s="27">
        <f>0</f>
        <v>0</v>
      </c>
      <c r="H16" s="27">
        <f>0</f>
        <v>0</v>
      </c>
      <c r="I16" s="27">
        <f>0</f>
        <v>0</v>
      </c>
      <c r="J16" s="27">
        <f>0</f>
        <v>0</v>
      </c>
      <c r="K16" s="27">
        <f>0</f>
        <v>0</v>
      </c>
      <c r="L16" s="27">
        <f>0</f>
        <v>0</v>
      </c>
      <c r="M16" s="27">
        <f>0</f>
        <v>0</v>
      </c>
      <c r="N16" s="27">
        <f>'MarglInvestrAPVvaluationEx14-6'!M44</f>
        <v>1104622.1254112045</v>
      </c>
      <c r="P16" s="16"/>
      <c r="Q16" s="8"/>
      <c r="R16" s="8"/>
      <c r="S16" s="5"/>
    </row>
    <row r="17" spans="1:19" s="11" customFormat="1">
      <c r="A17" s="19" t="s">
        <v>83</v>
      </c>
      <c r="B17" s="17"/>
      <c r="E17" s="35">
        <f t="shared" ref="E17:N17" si="0">SUM(E15:E16)</f>
        <v>59999.999999999993</v>
      </c>
      <c r="F17" s="35">
        <f t="shared" si="0"/>
        <v>60599.999999999993</v>
      </c>
      <c r="G17" s="35">
        <f t="shared" si="0"/>
        <v>11205.999999999998</v>
      </c>
      <c r="H17" s="35">
        <f t="shared" si="0"/>
        <v>61818.06</v>
      </c>
      <c r="I17" s="35">
        <f t="shared" si="0"/>
        <v>62436.24059999999</v>
      </c>
      <c r="J17" s="35">
        <f t="shared" si="0"/>
        <v>63060.603005999998</v>
      </c>
      <c r="K17" s="35">
        <f t="shared" si="0"/>
        <v>63691.209036059998</v>
      </c>
      <c r="L17" s="35">
        <f t="shared" si="0"/>
        <v>14328.121126420598</v>
      </c>
      <c r="M17" s="35">
        <f t="shared" si="0"/>
        <v>64971.402337684805</v>
      </c>
      <c r="N17" s="35">
        <f t="shared" si="0"/>
        <v>1170243.2417722661</v>
      </c>
      <c r="P17" s="10"/>
      <c r="Q17" s="10"/>
      <c r="R17" s="10"/>
      <c r="S17" s="14"/>
    </row>
    <row r="18" spans="1:19">
      <c r="A18" s="13" t="s">
        <v>101</v>
      </c>
      <c r="B18" s="22"/>
      <c r="C18" s="21"/>
      <c r="D18" s="16"/>
      <c r="E18" s="16">
        <f>-'MarglInvestrAPVvaluationEx14-6'!B82</f>
        <v>-43250</v>
      </c>
      <c r="F18" s="16">
        <f>-'MarglInvestrAPVvaluationEx14-6'!C82</f>
        <v>-43140</v>
      </c>
      <c r="G18" s="16">
        <f>-'MarglInvestrAPVvaluationEx14-6'!D82</f>
        <v>-43030</v>
      </c>
      <c r="H18" s="16">
        <f>-'MarglInvestrAPVvaluationEx14-6'!E82</f>
        <v>-42920</v>
      </c>
      <c r="I18" s="16">
        <f>-'MarglInvestrAPVvaluationEx14-6'!F82</f>
        <v>-42810</v>
      </c>
      <c r="J18" s="16">
        <f>-'MarglInvestrAPVvaluationEx14-6'!G82</f>
        <v>-42700</v>
      </c>
      <c r="K18" s="16">
        <f>-'MarglInvestrAPVvaluationEx14-6'!H82</f>
        <v>-42590</v>
      </c>
      <c r="L18" s="16">
        <f>-'MarglInvestrAPVvaluationEx14-6'!I82</f>
        <v>-42480</v>
      </c>
      <c r="M18" s="16">
        <f>-'MarglInvestrAPVvaluationEx14-6'!J82</f>
        <v>-42370</v>
      </c>
      <c r="N18" s="16">
        <f>-'MarglInvestrAPVvaluationEx14-6'!K82</f>
        <v>-42260</v>
      </c>
      <c r="P18" s="16"/>
      <c r="Q18" s="8"/>
      <c r="R18" s="8"/>
      <c r="S18" s="5"/>
    </row>
    <row r="19" spans="1:19">
      <c r="A19" s="28" t="s">
        <v>102</v>
      </c>
      <c r="B19" s="33"/>
      <c r="C19" s="23"/>
      <c r="D19" s="23"/>
      <c r="E19" s="23"/>
      <c r="F19" s="23"/>
      <c r="G19" s="23"/>
      <c r="H19" s="23"/>
      <c r="I19" s="23"/>
      <c r="J19" s="23"/>
      <c r="K19" s="23"/>
      <c r="L19" s="23"/>
      <c r="M19" s="23"/>
      <c r="N19" s="29">
        <f>-'MarglInvestrAPVvaluationEx14-6'!M82</f>
        <v>-730000</v>
      </c>
      <c r="P19" s="16"/>
      <c r="Q19" s="8"/>
      <c r="R19" s="8"/>
      <c r="S19" s="5"/>
    </row>
    <row r="20" spans="1:19">
      <c r="A20" s="13" t="s">
        <v>103</v>
      </c>
      <c r="B20" s="22"/>
      <c r="C20" s="21"/>
      <c r="D20" s="16">
        <f>D14</f>
        <v>750000</v>
      </c>
      <c r="E20" s="27">
        <f t="shared" ref="E20:N20" si="1">E18+E19</f>
        <v>-43250</v>
      </c>
      <c r="F20" s="27">
        <f t="shared" si="1"/>
        <v>-43140</v>
      </c>
      <c r="G20" s="27">
        <f t="shared" si="1"/>
        <v>-43030</v>
      </c>
      <c r="H20" s="27">
        <f t="shared" si="1"/>
        <v>-42920</v>
      </c>
      <c r="I20" s="27">
        <f t="shared" si="1"/>
        <v>-42810</v>
      </c>
      <c r="J20" s="27">
        <f t="shared" si="1"/>
        <v>-42700</v>
      </c>
      <c r="K20" s="27">
        <f t="shared" si="1"/>
        <v>-42590</v>
      </c>
      <c r="L20" s="27">
        <f t="shared" si="1"/>
        <v>-42480</v>
      </c>
      <c r="M20" s="27">
        <f t="shared" si="1"/>
        <v>-42370</v>
      </c>
      <c r="N20" s="27">
        <f t="shared" si="1"/>
        <v>-772260</v>
      </c>
      <c r="P20" s="16"/>
      <c r="Q20" s="8"/>
      <c r="R20" s="8"/>
      <c r="S20" s="5"/>
    </row>
    <row r="21" spans="1:19">
      <c r="A21" s="13" t="s">
        <v>87</v>
      </c>
      <c r="B21" s="22"/>
      <c r="C21" s="21"/>
      <c r="D21" s="16"/>
      <c r="E21" s="16">
        <f t="shared" ref="E21:N21" si="2">E15+E18</f>
        <v>16749.999999999993</v>
      </c>
      <c r="F21" s="16">
        <f t="shared" si="2"/>
        <v>17459.999999999993</v>
      </c>
      <c r="G21" s="16">
        <f t="shared" si="2"/>
        <v>-31824</v>
      </c>
      <c r="H21" s="16">
        <f t="shared" si="2"/>
        <v>18898.059999999998</v>
      </c>
      <c r="I21" s="16">
        <f t="shared" si="2"/>
        <v>19626.24059999999</v>
      </c>
      <c r="J21" s="16">
        <f t="shared" si="2"/>
        <v>20360.603005999998</v>
      </c>
      <c r="K21" s="16">
        <f t="shared" si="2"/>
        <v>21101.209036059998</v>
      </c>
      <c r="L21" s="16">
        <f t="shared" si="2"/>
        <v>-28151.878873579401</v>
      </c>
      <c r="M21" s="16">
        <f t="shared" si="2"/>
        <v>22601.402337684805</v>
      </c>
      <c r="N21" s="16">
        <f t="shared" si="2"/>
        <v>23361.11636106165</v>
      </c>
      <c r="P21" s="16"/>
      <c r="Q21" s="8"/>
      <c r="R21" s="8"/>
      <c r="S21" s="5"/>
    </row>
    <row r="22" spans="1:19">
      <c r="A22" s="13" t="s">
        <v>88</v>
      </c>
      <c r="B22" s="22"/>
      <c r="C22" s="24"/>
      <c r="D22" s="30"/>
      <c r="E22" s="27">
        <f t="shared" ref="E22:N22" si="3">E16+E19</f>
        <v>0</v>
      </c>
      <c r="F22" s="27">
        <f t="shared" si="3"/>
        <v>0</v>
      </c>
      <c r="G22" s="27">
        <f t="shared" si="3"/>
        <v>0</v>
      </c>
      <c r="H22" s="27">
        <f t="shared" si="3"/>
        <v>0</v>
      </c>
      <c r="I22" s="27">
        <f t="shared" si="3"/>
        <v>0</v>
      </c>
      <c r="J22" s="27">
        <f t="shared" si="3"/>
        <v>0</v>
      </c>
      <c r="K22" s="27">
        <f t="shared" si="3"/>
        <v>0</v>
      </c>
      <c r="L22" s="27">
        <f t="shared" si="3"/>
        <v>0</v>
      </c>
      <c r="M22" s="27">
        <f t="shared" si="3"/>
        <v>0</v>
      </c>
      <c r="N22" s="27">
        <f t="shared" si="3"/>
        <v>374622.12541120453</v>
      </c>
      <c r="P22" s="16"/>
      <c r="Q22" s="8"/>
      <c r="R22" s="8"/>
      <c r="S22" s="5"/>
    </row>
    <row r="23" spans="1:19" s="11" customFormat="1">
      <c r="A23" s="19" t="s">
        <v>84</v>
      </c>
      <c r="B23" s="17"/>
      <c r="D23" s="10"/>
      <c r="E23" s="10">
        <f t="shared" ref="E23:N23" si="4">SUM(E21:E22)</f>
        <v>16749.999999999993</v>
      </c>
      <c r="F23" s="10">
        <f t="shared" si="4"/>
        <v>17459.999999999993</v>
      </c>
      <c r="G23" s="10">
        <f t="shared" si="4"/>
        <v>-31824</v>
      </c>
      <c r="H23" s="10">
        <f t="shared" si="4"/>
        <v>18898.059999999998</v>
      </c>
      <c r="I23" s="10">
        <f t="shared" si="4"/>
        <v>19626.24059999999</v>
      </c>
      <c r="J23" s="10">
        <f t="shared" si="4"/>
        <v>20360.603005999998</v>
      </c>
      <c r="K23" s="10">
        <f t="shared" si="4"/>
        <v>21101.209036059998</v>
      </c>
      <c r="L23" s="10">
        <f t="shared" si="4"/>
        <v>-28151.878873579401</v>
      </c>
      <c r="M23" s="10">
        <f t="shared" si="4"/>
        <v>22601.402337684805</v>
      </c>
      <c r="N23" s="10">
        <f t="shared" si="4"/>
        <v>397983.24177226616</v>
      </c>
      <c r="P23" s="10"/>
      <c r="Q23" s="10"/>
      <c r="R23" s="10"/>
      <c r="S23" s="14"/>
    </row>
    <row r="24" spans="1:19" s="11" customFormat="1">
      <c r="A24" s="19"/>
      <c r="B24" s="17"/>
      <c r="D24" s="10"/>
      <c r="E24" s="10"/>
      <c r="F24" s="10"/>
      <c r="G24" s="10"/>
      <c r="H24" s="10"/>
      <c r="I24" s="10"/>
      <c r="J24" s="10"/>
      <c r="K24" s="10"/>
      <c r="L24" s="10"/>
      <c r="M24" s="10"/>
      <c r="N24" s="10"/>
      <c r="P24" s="10"/>
      <c r="Q24" s="10"/>
      <c r="R24" s="10"/>
      <c r="S24" s="14"/>
    </row>
    <row r="25" spans="1:19" s="11" customFormat="1">
      <c r="A25" s="19" t="s">
        <v>77</v>
      </c>
      <c r="B25" s="17"/>
      <c r="D25" s="10"/>
      <c r="E25" s="10"/>
      <c r="F25" s="10"/>
      <c r="G25" s="10"/>
      <c r="H25" s="10"/>
      <c r="I25" s="10"/>
      <c r="J25" s="10"/>
      <c r="K25" s="10"/>
      <c r="L25" s="10"/>
      <c r="M25" s="10"/>
      <c r="N25" s="10"/>
      <c r="P25" s="10"/>
      <c r="Q25" s="10"/>
      <c r="R25" s="10"/>
      <c r="S25" s="14"/>
    </row>
    <row r="26" spans="1:19">
      <c r="A26" s="13" t="s">
        <v>97</v>
      </c>
      <c r="B26" s="22"/>
      <c r="C26" s="21"/>
      <c r="D26" s="16"/>
      <c r="E26" s="16"/>
      <c r="F26" s="16"/>
      <c r="G26" s="16"/>
      <c r="H26" s="16"/>
      <c r="I26" s="16"/>
      <c r="J26" s="16"/>
      <c r="K26" s="16"/>
      <c r="L26" s="16"/>
      <c r="M26" s="16"/>
      <c r="N26" s="16"/>
      <c r="P26" s="16"/>
      <c r="Q26" s="8"/>
      <c r="R26" s="8"/>
      <c r="S26" s="5"/>
    </row>
    <row r="27" spans="1:19">
      <c r="A27" s="13" t="s">
        <v>114</v>
      </c>
      <c r="B27" s="22"/>
      <c r="C27" s="16">
        <v>0</v>
      </c>
      <c r="D27" s="16">
        <f t="shared" ref="D27:N27" si="5">C33</f>
        <v>179999.99999999994</v>
      </c>
      <c r="E27" s="16">
        <f t="shared" si="5"/>
        <v>190799.99999999994</v>
      </c>
      <c r="F27" s="16">
        <f t="shared" si="5"/>
        <v>185497.99999999994</v>
      </c>
      <c r="G27" s="16">
        <f t="shared" si="5"/>
        <v>179999.99999999994</v>
      </c>
      <c r="H27" s="16">
        <f t="shared" si="5"/>
        <v>219441.59999999995</v>
      </c>
      <c r="I27" s="16">
        <f t="shared" si="5"/>
        <v>213710.03599999993</v>
      </c>
      <c r="J27" s="16">
        <f t="shared" si="5"/>
        <v>208641.59999999995</v>
      </c>
      <c r="K27" s="16">
        <f t="shared" si="5"/>
        <v>208641.59999999995</v>
      </c>
      <c r="L27" s="16">
        <f t="shared" si="5"/>
        <v>208641.59999999995</v>
      </c>
      <c r="M27" s="16">
        <f t="shared" si="5"/>
        <v>246496.78698622138</v>
      </c>
      <c r="N27" s="16">
        <f t="shared" si="5"/>
        <v>238685.19186770986</v>
      </c>
      <c r="P27" s="16"/>
      <c r="Q27" s="8"/>
      <c r="R27" s="8"/>
      <c r="S27" s="5"/>
    </row>
    <row r="28" spans="1:19">
      <c r="A28" s="13" t="s">
        <v>120</v>
      </c>
      <c r="B28" s="22"/>
      <c r="C28" s="16">
        <f>+C11*$B3</f>
        <v>179999.99999999994</v>
      </c>
      <c r="D28" s="16">
        <f>+D11*$B3</f>
        <v>0</v>
      </c>
      <c r="E28" s="16">
        <f t="shared" ref="E28:N28" si="6">(E11+IF(E21&lt;0,-E21,0))*$B3</f>
        <v>0</v>
      </c>
      <c r="F28" s="16">
        <f t="shared" si="6"/>
        <v>0</v>
      </c>
      <c r="G28" s="16">
        <f t="shared" si="6"/>
        <v>28641.600000000002</v>
      </c>
      <c r="H28" s="16">
        <f t="shared" si="6"/>
        <v>0</v>
      </c>
      <c r="I28" s="16">
        <f t="shared" si="6"/>
        <v>0</v>
      </c>
      <c r="J28" s="16">
        <f t="shared" si="6"/>
        <v>0</v>
      </c>
      <c r="K28" s="16">
        <f t="shared" si="6"/>
        <v>0</v>
      </c>
      <c r="L28" s="16">
        <f t="shared" si="6"/>
        <v>25336.69098622146</v>
      </c>
      <c r="M28" s="16">
        <f t="shared" si="6"/>
        <v>0</v>
      </c>
      <c r="N28" s="16">
        <f t="shared" si="6"/>
        <v>0</v>
      </c>
      <c r="O28" s="108"/>
      <c r="P28" s="16"/>
      <c r="Q28" s="8"/>
      <c r="R28" s="8"/>
      <c r="S28" s="5"/>
    </row>
    <row r="29" spans="1:19">
      <c r="A29" s="13" t="s">
        <v>112</v>
      </c>
      <c r="B29" s="22"/>
      <c r="C29" s="16">
        <f>+B27*$B$4</f>
        <v>0</v>
      </c>
      <c r="D29" s="16">
        <f t="shared" ref="D29:N29" si="7">+D27*$B$4</f>
        <v>10799.999999999996</v>
      </c>
      <c r="E29" s="16">
        <f t="shared" si="7"/>
        <v>11447.999999999996</v>
      </c>
      <c r="F29" s="16">
        <f t="shared" si="7"/>
        <v>11129.879999999996</v>
      </c>
      <c r="G29" s="16">
        <f t="shared" si="7"/>
        <v>10799.999999999996</v>
      </c>
      <c r="H29" s="16">
        <f t="shared" si="7"/>
        <v>13166.495999999996</v>
      </c>
      <c r="I29" s="16">
        <f t="shared" si="7"/>
        <v>12822.602159999995</v>
      </c>
      <c r="J29" s="16">
        <f t="shared" si="7"/>
        <v>12518.495999999996</v>
      </c>
      <c r="K29" s="16">
        <f t="shared" si="7"/>
        <v>12518.495999999996</v>
      </c>
      <c r="L29" s="16">
        <f t="shared" si="7"/>
        <v>12518.495999999996</v>
      </c>
      <c r="M29" s="16">
        <f t="shared" si="7"/>
        <v>14789.807219173283</v>
      </c>
      <c r="N29" s="16">
        <f t="shared" si="7"/>
        <v>14321.111512062591</v>
      </c>
      <c r="P29" s="16"/>
      <c r="Q29" s="8"/>
      <c r="R29" s="8"/>
      <c r="S29" s="5"/>
    </row>
    <row r="30" spans="1:19">
      <c r="A30" s="13" t="s">
        <v>113</v>
      </c>
      <c r="B30" s="22"/>
      <c r="C30" s="16">
        <v>0</v>
      </c>
      <c r="D30" s="16">
        <v>0</v>
      </c>
      <c r="E30" s="16">
        <f t="shared" ref="E30:N30" si="8">-MIN(E29,MAX(E21,0))</f>
        <v>-11447.999999999996</v>
      </c>
      <c r="F30" s="16">
        <f t="shared" si="8"/>
        <v>-11129.879999999996</v>
      </c>
      <c r="G30" s="16">
        <f t="shared" si="8"/>
        <v>0</v>
      </c>
      <c r="H30" s="16">
        <f t="shared" si="8"/>
        <v>-13166.495999999996</v>
      </c>
      <c r="I30" s="16">
        <f t="shared" si="8"/>
        <v>-12822.602159999995</v>
      </c>
      <c r="J30" s="16">
        <f t="shared" si="8"/>
        <v>-12518.495999999996</v>
      </c>
      <c r="K30" s="16">
        <f t="shared" si="8"/>
        <v>-12518.495999999996</v>
      </c>
      <c r="L30" s="16">
        <f t="shared" si="8"/>
        <v>0</v>
      </c>
      <c r="M30" s="16">
        <f t="shared" si="8"/>
        <v>-14789.807219173283</v>
      </c>
      <c r="N30" s="16">
        <f t="shared" si="8"/>
        <v>-14321.111512062591</v>
      </c>
      <c r="O30" s="108"/>
      <c r="P30" s="16"/>
      <c r="Q30" s="8"/>
      <c r="R30" s="8"/>
      <c r="S30" s="5"/>
    </row>
    <row r="31" spans="1:19">
      <c r="A31" s="13" t="s">
        <v>197</v>
      </c>
      <c r="B31" s="22"/>
      <c r="C31" s="16"/>
      <c r="D31" s="16"/>
      <c r="E31" s="16">
        <f>-MIN(MAX((E21+E30),0),(E27-SUM($C28:D28)))</f>
        <v>-5301.9999999999964</v>
      </c>
      <c r="F31" s="16">
        <f>-MIN(MAX((F21+F30),0),(F27-SUM($C28:E28)))</f>
        <v>-5498</v>
      </c>
      <c r="G31" s="16">
        <f>-MIN(MAX((G21+G30),0),(G27-SUM($C28:F28)))</f>
        <v>0</v>
      </c>
      <c r="H31" s="16">
        <f>-MIN(MAX((H21+H30),0),(H27-SUM($C28:G28)))</f>
        <v>-5731.5640000000021</v>
      </c>
      <c r="I31" s="16">
        <f>-MIN(MAX((I21+I30),0),(I27-SUM($C28:H28)))</f>
        <v>-5068.435999999987</v>
      </c>
      <c r="J31" s="16">
        <f>-MIN(MAX((J21+J30),0),(J27-SUM($C28:I28)))</f>
        <v>0</v>
      </c>
      <c r="K31" s="16">
        <f>-MIN(MAX((K21+K30),0),(K27-SUM($C28:J28)))</f>
        <v>0</v>
      </c>
      <c r="L31" s="16">
        <f>-MIN(MAX((L21+L30),0),(L27-SUM($C28:K28)))</f>
        <v>0</v>
      </c>
      <c r="M31" s="16">
        <f>-MIN(MAX((M21+M30),0),(M27-SUM($C28:L28)))</f>
        <v>-7811.5951185115227</v>
      </c>
      <c r="N31" s="16">
        <f>-MIN(MAX((N21+N30),0),(N27-SUM($C28:M28)))</f>
        <v>-4706.9008814884583</v>
      </c>
      <c r="O31" s="108"/>
      <c r="P31" s="16"/>
      <c r="Q31" s="8"/>
      <c r="R31" s="8"/>
      <c r="S31" s="5"/>
    </row>
    <row r="32" spans="1:19">
      <c r="A32" s="13" t="s">
        <v>111</v>
      </c>
      <c r="B32" s="22"/>
      <c r="C32" s="27">
        <f t="shared" ref="C32:N32" si="9">C29+C30</f>
        <v>0</v>
      </c>
      <c r="D32" s="27">
        <f t="shared" si="9"/>
        <v>10799.999999999996</v>
      </c>
      <c r="E32" s="27">
        <f t="shared" si="9"/>
        <v>0</v>
      </c>
      <c r="F32" s="27">
        <f t="shared" si="9"/>
        <v>0</v>
      </c>
      <c r="G32" s="27">
        <f t="shared" si="9"/>
        <v>10799.999999999996</v>
      </c>
      <c r="H32" s="27">
        <f t="shared" si="9"/>
        <v>0</v>
      </c>
      <c r="I32" s="27">
        <f t="shared" si="9"/>
        <v>0</v>
      </c>
      <c r="J32" s="27">
        <f t="shared" si="9"/>
        <v>0</v>
      </c>
      <c r="K32" s="27">
        <f t="shared" si="9"/>
        <v>0</v>
      </c>
      <c r="L32" s="27">
        <f t="shared" si="9"/>
        <v>12518.495999999996</v>
      </c>
      <c r="M32" s="27">
        <f t="shared" si="9"/>
        <v>0</v>
      </c>
      <c r="N32" s="27">
        <f t="shared" si="9"/>
        <v>0</v>
      </c>
      <c r="O32" s="129"/>
      <c r="P32" s="16"/>
      <c r="Q32" s="8"/>
      <c r="R32" s="8"/>
      <c r="S32" s="5"/>
    </row>
    <row r="33" spans="1:20">
      <c r="A33" s="13" t="s">
        <v>115</v>
      </c>
      <c r="B33" s="22"/>
      <c r="C33" s="16">
        <f t="shared" ref="C33:D33" si="10">C27+C28+C31+C32</f>
        <v>179999.99999999994</v>
      </c>
      <c r="D33" s="16">
        <f t="shared" si="10"/>
        <v>190799.99999999994</v>
      </c>
      <c r="E33" s="16">
        <f>E27+E28+E31+E32</f>
        <v>185497.99999999994</v>
      </c>
      <c r="F33" s="16">
        <f t="shared" ref="F33:N33" si="11">F27+F28+F31+F32</f>
        <v>179999.99999999994</v>
      </c>
      <c r="G33" s="16">
        <f t="shared" si="11"/>
        <v>219441.59999999995</v>
      </c>
      <c r="H33" s="16">
        <f t="shared" si="11"/>
        <v>213710.03599999993</v>
      </c>
      <c r="I33" s="16">
        <f t="shared" si="11"/>
        <v>208641.59999999995</v>
      </c>
      <c r="J33" s="16">
        <f t="shared" si="11"/>
        <v>208641.59999999995</v>
      </c>
      <c r="K33" s="16">
        <f t="shared" si="11"/>
        <v>208641.59999999995</v>
      </c>
      <c r="L33" s="16">
        <f t="shared" si="11"/>
        <v>246496.78698622138</v>
      </c>
      <c r="M33" s="16">
        <f t="shared" si="11"/>
        <v>238685.19186770986</v>
      </c>
      <c r="N33" s="16">
        <f t="shared" si="11"/>
        <v>233978.2909862214</v>
      </c>
      <c r="O33" s="108"/>
      <c r="P33" s="16"/>
      <c r="Q33" s="8"/>
      <c r="R33" s="8"/>
      <c r="S33" s="5"/>
    </row>
    <row r="34" spans="1:20">
      <c r="A34" s="13" t="s">
        <v>104</v>
      </c>
      <c r="B34" s="22"/>
      <c r="C34" s="31"/>
      <c r="D34" s="23"/>
      <c r="E34" s="16"/>
      <c r="F34" s="16"/>
      <c r="G34" s="16"/>
      <c r="H34" s="16"/>
      <c r="I34" s="16"/>
      <c r="J34" s="16"/>
      <c r="K34" s="16"/>
      <c r="L34" s="16"/>
      <c r="M34" s="16"/>
      <c r="N34" s="16"/>
      <c r="P34" s="16"/>
      <c r="Q34" s="8"/>
      <c r="R34" s="8"/>
      <c r="S34" s="5"/>
    </row>
    <row r="35" spans="1:20">
      <c r="A35" s="13" t="s">
        <v>116</v>
      </c>
      <c r="B35" s="22"/>
      <c r="C35" s="21"/>
      <c r="D35" s="16"/>
      <c r="E35" s="16"/>
      <c r="F35" s="16"/>
      <c r="G35" s="16"/>
      <c r="H35" s="16"/>
      <c r="I35" s="16"/>
      <c r="J35" s="16"/>
      <c r="K35" s="16"/>
      <c r="L35" s="16"/>
      <c r="M35" s="16"/>
      <c r="N35" s="16">
        <f>-MIN(N33,N22)</f>
        <v>-233978.2909862214</v>
      </c>
      <c r="P35" s="16"/>
      <c r="Q35" s="8"/>
      <c r="R35" s="8"/>
      <c r="S35" s="5"/>
    </row>
    <row r="36" spans="1:20">
      <c r="A36" s="13" t="s">
        <v>105</v>
      </c>
      <c r="B36" s="22"/>
      <c r="C36" s="21"/>
      <c r="D36" s="16"/>
      <c r="E36" s="16"/>
      <c r="F36" s="16"/>
      <c r="G36" s="16"/>
      <c r="H36" s="16"/>
      <c r="I36" s="16"/>
      <c r="J36" s="16"/>
      <c r="K36" s="16"/>
      <c r="L36" s="16"/>
      <c r="M36" s="16"/>
      <c r="N36" s="16">
        <f>IF(N33+N35&gt;0,0,-MIN(N23+N35,(1-B3)*(C11-G23-L23)))</f>
        <v>-25997.587887357928</v>
      </c>
      <c r="O36" s="108"/>
      <c r="P36" s="16"/>
      <c r="Q36" s="8"/>
      <c r="R36" s="8"/>
      <c r="S36" s="5"/>
    </row>
    <row r="37" spans="1:20">
      <c r="A37" s="13"/>
      <c r="B37" s="22"/>
      <c r="C37" s="21"/>
      <c r="D37" s="16"/>
      <c r="E37" s="16"/>
      <c r="F37" s="16"/>
      <c r="G37" s="16"/>
      <c r="H37" s="16"/>
      <c r="I37" s="16"/>
      <c r="J37" s="16"/>
      <c r="K37" s="16"/>
      <c r="L37" s="16"/>
      <c r="M37" s="16"/>
      <c r="N37" s="16"/>
      <c r="O37" s="108"/>
      <c r="P37" s="16"/>
      <c r="Q37" s="8"/>
      <c r="R37" s="8"/>
      <c r="S37" s="5"/>
    </row>
    <row r="38" spans="1:20">
      <c r="A38" s="19" t="s">
        <v>106</v>
      </c>
      <c r="B38" s="95"/>
      <c r="C38" s="96"/>
      <c r="D38" s="97"/>
      <c r="E38" s="97"/>
      <c r="F38" s="97"/>
      <c r="G38" s="97"/>
      <c r="H38" s="97"/>
      <c r="I38" s="97"/>
      <c r="J38" s="97"/>
      <c r="K38" s="97"/>
      <c r="L38" s="97"/>
      <c r="M38" s="97"/>
      <c r="N38" s="97"/>
      <c r="O38" s="108"/>
      <c r="P38" s="16"/>
      <c r="Q38" s="8"/>
      <c r="R38" s="8"/>
      <c r="S38" s="5"/>
    </row>
    <row r="39" spans="1:20">
      <c r="A39" s="98"/>
      <c r="B39" s="99"/>
      <c r="C39" s="100" t="str">
        <f t="shared" ref="C39:N39" si="12">C6</f>
        <v>Year 0</v>
      </c>
      <c r="D39" s="100" t="str">
        <f t="shared" si="12"/>
        <v>Year 1</v>
      </c>
      <c r="E39" s="100" t="str">
        <f t="shared" si="12"/>
        <v>Year 2</v>
      </c>
      <c r="F39" s="100" t="str">
        <f t="shared" si="12"/>
        <v>Year 3</v>
      </c>
      <c r="G39" s="100" t="str">
        <f t="shared" si="12"/>
        <v>Year 4</v>
      </c>
      <c r="H39" s="100" t="str">
        <f t="shared" si="12"/>
        <v>Year 5</v>
      </c>
      <c r="I39" s="100" t="str">
        <f t="shared" si="12"/>
        <v>Year 6</v>
      </c>
      <c r="J39" s="100" t="str">
        <f t="shared" si="12"/>
        <v>Year 7</v>
      </c>
      <c r="K39" s="100" t="str">
        <f t="shared" si="12"/>
        <v>Year 8</v>
      </c>
      <c r="L39" s="100" t="str">
        <f t="shared" si="12"/>
        <v>Year 9</v>
      </c>
      <c r="M39" s="100" t="str">
        <f t="shared" si="12"/>
        <v>Year 10</v>
      </c>
      <c r="N39" s="100" t="str">
        <f t="shared" si="12"/>
        <v>Year 11</v>
      </c>
      <c r="O39" s="130"/>
      <c r="P39" s="92"/>
      <c r="Q39" s="93"/>
      <c r="R39" s="93"/>
      <c r="S39" s="94"/>
      <c r="T39" s="91"/>
    </row>
    <row r="40" spans="1:20">
      <c r="A40" s="19" t="s">
        <v>78</v>
      </c>
      <c r="B40" s="101" t="s">
        <v>76</v>
      </c>
      <c r="C40" s="96"/>
      <c r="D40" s="97"/>
      <c r="E40" s="97"/>
      <c r="F40" s="97"/>
      <c r="G40" s="97"/>
      <c r="H40" s="97"/>
      <c r="I40" s="97"/>
      <c r="J40" s="97"/>
      <c r="K40" s="97"/>
      <c r="L40" s="97"/>
      <c r="M40" s="97"/>
      <c r="N40" s="97"/>
      <c r="P40" s="16"/>
      <c r="Q40" s="8"/>
      <c r="R40" s="8"/>
      <c r="S40" s="5"/>
    </row>
    <row r="41" spans="1:20">
      <c r="A41" s="102" t="s">
        <v>92</v>
      </c>
      <c r="B41" s="103">
        <f>IRR(C41:D41)</f>
        <v>0.25000000000000022</v>
      </c>
      <c r="C41" s="104">
        <f>-C11</f>
        <v>-199999.99999999994</v>
      </c>
      <c r="D41" s="104">
        <f>D13+'MarglInvestrAPVvaluationEx14-6'!B13</f>
        <v>250000</v>
      </c>
      <c r="E41" s="104"/>
      <c r="F41" s="104"/>
      <c r="G41" s="104"/>
      <c r="H41" s="104"/>
      <c r="I41" s="104"/>
      <c r="J41" s="104"/>
      <c r="K41" s="104"/>
      <c r="L41" s="104"/>
      <c r="M41" s="104"/>
      <c r="N41" s="104"/>
      <c r="P41" s="8"/>
      <c r="Q41" s="8"/>
      <c r="R41" s="8"/>
      <c r="S41" s="5"/>
    </row>
    <row r="42" spans="1:20">
      <c r="A42" s="102" t="s">
        <v>93</v>
      </c>
      <c r="B42" s="103">
        <f>IRR(D42:N42)</f>
        <v>6.0428831757567192E-2</v>
      </c>
      <c r="C42" s="105"/>
      <c r="D42" s="104">
        <f>-'MarglInvestrAPVvaluationEx14-6'!B13</f>
        <v>-1000000</v>
      </c>
      <c r="E42" s="104">
        <f t="shared" ref="E42:N42" si="13">E17</f>
        <v>59999.999999999993</v>
      </c>
      <c r="F42" s="104">
        <f t="shared" si="13"/>
        <v>60599.999999999993</v>
      </c>
      <c r="G42" s="104">
        <f t="shared" si="13"/>
        <v>11205.999999999998</v>
      </c>
      <c r="H42" s="104">
        <f t="shared" si="13"/>
        <v>61818.06</v>
      </c>
      <c r="I42" s="104">
        <f t="shared" si="13"/>
        <v>62436.24059999999</v>
      </c>
      <c r="J42" s="104">
        <f t="shared" si="13"/>
        <v>63060.603005999998</v>
      </c>
      <c r="K42" s="104">
        <f t="shared" si="13"/>
        <v>63691.209036059998</v>
      </c>
      <c r="L42" s="104">
        <f t="shared" si="13"/>
        <v>14328.121126420598</v>
      </c>
      <c r="M42" s="104">
        <f t="shared" si="13"/>
        <v>64971.402337684805</v>
      </c>
      <c r="N42" s="104">
        <f t="shared" si="13"/>
        <v>1170243.2417722661</v>
      </c>
      <c r="P42" s="8"/>
      <c r="Q42" s="8"/>
      <c r="R42" s="8"/>
      <c r="S42" s="5"/>
    </row>
    <row r="43" spans="1:20">
      <c r="A43" s="102" t="s">
        <v>94</v>
      </c>
      <c r="B43" s="103">
        <f>IRR(C43:N43)</f>
        <v>6.5374293555781948E-2</v>
      </c>
      <c r="C43" s="104">
        <f>-C11</f>
        <v>-199999.99999999994</v>
      </c>
      <c r="D43" s="104">
        <f>D13</f>
        <v>-750000</v>
      </c>
      <c r="E43" s="104">
        <f t="shared" ref="E43:N43" si="14">E17</f>
        <v>59999.999999999993</v>
      </c>
      <c r="F43" s="104">
        <f t="shared" si="14"/>
        <v>60599.999999999993</v>
      </c>
      <c r="G43" s="104">
        <f t="shared" si="14"/>
        <v>11205.999999999998</v>
      </c>
      <c r="H43" s="104">
        <f t="shared" si="14"/>
        <v>61818.06</v>
      </c>
      <c r="I43" s="104">
        <f t="shared" si="14"/>
        <v>62436.24059999999</v>
      </c>
      <c r="J43" s="104">
        <f t="shared" si="14"/>
        <v>63060.603005999998</v>
      </c>
      <c r="K43" s="104">
        <f t="shared" si="14"/>
        <v>63691.209036059998</v>
      </c>
      <c r="L43" s="104">
        <f t="shared" si="14"/>
        <v>14328.121126420598</v>
      </c>
      <c r="M43" s="104">
        <f t="shared" si="14"/>
        <v>64971.402337684805</v>
      </c>
      <c r="N43" s="104">
        <f t="shared" si="14"/>
        <v>1170243.2417722661</v>
      </c>
      <c r="P43" s="8"/>
      <c r="Q43" s="8"/>
      <c r="R43" s="8"/>
      <c r="S43" s="5"/>
    </row>
    <row r="44" spans="1:20">
      <c r="A44" s="102"/>
      <c r="B44" s="106"/>
      <c r="C44" s="98"/>
      <c r="D44" s="98"/>
      <c r="E44" s="98"/>
      <c r="F44" s="98"/>
      <c r="G44" s="98"/>
      <c r="H44" s="98"/>
      <c r="I44" s="98"/>
      <c r="J44" s="98"/>
      <c r="K44" s="98"/>
      <c r="L44" s="98"/>
      <c r="M44" s="98"/>
      <c r="N44" s="98"/>
      <c r="P44" s="8"/>
      <c r="Q44" s="8"/>
      <c r="R44" s="8"/>
      <c r="S44" s="5"/>
    </row>
    <row r="45" spans="1:20">
      <c r="A45" s="19" t="s">
        <v>98</v>
      </c>
      <c r="B45" s="103">
        <f>IRR(D45:N45)</f>
        <v>5.4999999999999938E-2</v>
      </c>
      <c r="C45" s="104"/>
      <c r="D45" s="104">
        <f t="shared" ref="D45:N45" si="15">-D20</f>
        <v>-750000</v>
      </c>
      <c r="E45" s="104">
        <f t="shared" si="15"/>
        <v>43250</v>
      </c>
      <c r="F45" s="104">
        <f t="shared" si="15"/>
        <v>43140</v>
      </c>
      <c r="G45" s="104">
        <f t="shared" si="15"/>
        <v>43030</v>
      </c>
      <c r="H45" s="104">
        <f t="shared" si="15"/>
        <v>42920</v>
      </c>
      <c r="I45" s="104">
        <f t="shared" si="15"/>
        <v>42810</v>
      </c>
      <c r="J45" s="104">
        <f t="shared" si="15"/>
        <v>42700</v>
      </c>
      <c r="K45" s="104">
        <f t="shared" si="15"/>
        <v>42590</v>
      </c>
      <c r="L45" s="104">
        <f t="shared" si="15"/>
        <v>42480</v>
      </c>
      <c r="M45" s="104">
        <f t="shared" si="15"/>
        <v>42370</v>
      </c>
      <c r="N45" s="104">
        <f t="shared" si="15"/>
        <v>772260</v>
      </c>
      <c r="P45" s="8"/>
      <c r="Q45" s="8"/>
      <c r="R45" s="8"/>
      <c r="S45" s="5"/>
    </row>
    <row r="46" spans="1:20">
      <c r="A46" s="102"/>
      <c r="B46" s="103"/>
      <c r="C46" s="105"/>
      <c r="D46" s="104"/>
      <c r="E46" s="104"/>
      <c r="F46" s="104"/>
      <c r="G46" s="104"/>
      <c r="H46" s="104"/>
      <c r="I46" s="104"/>
      <c r="J46" s="104"/>
      <c r="K46" s="104"/>
      <c r="L46" s="104"/>
      <c r="M46" s="104"/>
      <c r="N46" s="104"/>
      <c r="P46" s="8"/>
      <c r="Q46" s="8"/>
      <c r="R46" s="8"/>
      <c r="S46" s="5"/>
    </row>
    <row r="47" spans="1:20">
      <c r="A47" s="19" t="s">
        <v>80</v>
      </c>
      <c r="B47" s="103"/>
      <c r="C47" s="105"/>
      <c r="D47" s="104"/>
      <c r="E47" s="104"/>
      <c r="F47" s="104"/>
      <c r="G47" s="104"/>
      <c r="H47" s="104"/>
      <c r="I47" s="104"/>
      <c r="J47" s="104"/>
      <c r="K47" s="104"/>
      <c r="L47" s="104"/>
      <c r="M47" s="104"/>
      <c r="N47" s="104"/>
      <c r="P47" s="8"/>
      <c r="Q47" s="8"/>
      <c r="R47" s="8"/>
      <c r="S47" s="5"/>
    </row>
    <row r="48" spans="1:20">
      <c r="A48" s="102" t="s">
        <v>92</v>
      </c>
      <c r="B48" s="103">
        <f>IRR(C48:D48)</f>
        <v>0.25000000000000022</v>
      </c>
      <c r="C48" s="104">
        <f>-C11</f>
        <v>-199999.99999999994</v>
      </c>
      <c r="D48" s="104">
        <f>D13+'MarglInvestrAPVvaluationEx14-6'!B13</f>
        <v>250000</v>
      </c>
      <c r="E48" s="104"/>
      <c r="F48" s="104"/>
      <c r="G48" s="104"/>
      <c r="H48" s="104"/>
      <c r="I48" s="104"/>
      <c r="J48" s="104"/>
      <c r="K48" s="104"/>
      <c r="L48" s="104"/>
      <c r="M48" s="104"/>
      <c r="N48" s="104"/>
      <c r="P48" s="8"/>
      <c r="Q48" s="8"/>
      <c r="R48" s="8"/>
      <c r="S48" s="5"/>
    </row>
    <row r="49" spans="1:19" ht="13.8">
      <c r="A49" s="102" t="s">
        <v>93</v>
      </c>
      <c r="B49" s="103">
        <f>IRR(D49:N49)</f>
        <v>7.3970856701934817E-2</v>
      </c>
      <c r="C49" s="105"/>
      <c r="D49" s="104">
        <f>-('MarglInvestrAPVvaluationEx14-6'!B13-'Splits Analysis Expected'!D14)</f>
        <v>-250000</v>
      </c>
      <c r="E49" s="104">
        <f t="shared" ref="E49:N49" si="16">E23</f>
        <v>16749.999999999993</v>
      </c>
      <c r="F49" s="104">
        <f t="shared" si="16"/>
        <v>17459.999999999993</v>
      </c>
      <c r="G49" s="104">
        <f t="shared" si="16"/>
        <v>-31824</v>
      </c>
      <c r="H49" s="104">
        <f t="shared" si="16"/>
        <v>18898.059999999998</v>
      </c>
      <c r="I49" s="104">
        <f t="shared" si="16"/>
        <v>19626.24059999999</v>
      </c>
      <c r="J49" s="104">
        <f t="shared" si="16"/>
        <v>20360.603005999998</v>
      </c>
      <c r="K49" s="104">
        <f t="shared" si="16"/>
        <v>21101.209036059998</v>
      </c>
      <c r="L49" s="104">
        <f t="shared" si="16"/>
        <v>-28151.878873579401</v>
      </c>
      <c r="M49" s="104">
        <f t="shared" si="16"/>
        <v>22601.402337684805</v>
      </c>
      <c r="N49" s="104">
        <f t="shared" si="16"/>
        <v>397983.24177226616</v>
      </c>
      <c r="O49" s="108"/>
      <c r="P49" s="40"/>
      <c r="Q49" s="8"/>
      <c r="R49" s="8"/>
      <c r="S49" s="5"/>
    </row>
    <row r="50" spans="1:19">
      <c r="A50" s="102" t="s">
        <v>94</v>
      </c>
      <c r="B50" s="103">
        <f>IRR(C50:N50)</f>
        <v>9.0879762491388627E-2</v>
      </c>
      <c r="C50" s="104">
        <f>-C11</f>
        <v>-199999.99999999994</v>
      </c>
      <c r="D50" s="104">
        <f>SUM(D13:D14)</f>
        <v>0</v>
      </c>
      <c r="E50" s="104">
        <f t="shared" ref="E50:N50" si="17">E23</f>
        <v>16749.999999999993</v>
      </c>
      <c r="F50" s="104">
        <f t="shared" si="17"/>
        <v>17459.999999999993</v>
      </c>
      <c r="G50" s="104">
        <f t="shared" si="17"/>
        <v>-31824</v>
      </c>
      <c r="H50" s="104">
        <f t="shared" si="17"/>
        <v>18898.059999999998</v>
      </c>
      <c r="I50" s="104">
        <f t="shared" si="17"/>
        <v>19626.24059999999</v>
      </c>
      <c r="J50" s="104">
        <f t="shared" si="17"/>
        <v>20360.603005999998</v>
      </c>
      <c r="K50" s="104">
        <f t="shared" si="17"/>
        <v>21101.209036059998</v>
      </c>
      <c r="L50" s="104">
        <f t="shared" si="17"/>
        <v>-28151.878873579401</v>
      </c>
      <c r="M50" s="104">
        <f t="shared" si="17"/>
        <v>22601.402337684805</v>
      </c>
      <c r="N50" s="104">
        <f t="shared" si="17"/>
        <v>397983.24177226616</v>
      </c>
      <c r="O50" s="104"/>
      <c r="P50" s="8"/>
      <c r="Q50" s="8"/>
      <c r="R50" s="8"/>
      <c r="S50" s="5"/>
    </row>
    <row r="51" spans="1:19">
      <c r="A51" s="102"/>
      <c r="B51" s="103"/>
      <c r="C51" s="105"/>
      <c r="D51" s="104"/>
      <c r="E51" s="104"/>
      <c r="F51" s="104"/>
      <c r="G51" s="104"/>
      <c r="H51" s="104"/>
      <c r="I51" s="104"/>
      <c r="J51" s="104"/>
      <c r="K51" s="104"/>
      <c r="L51" s="104"/>
      <c r="M51" s="104"/>
      <c r="N51" s="104"/>
      <c r="O51" s="108"/>
      <c r="P51" s="8"/>
      <c r="Q51" s="8"/>
      <c r="R51" s="8"/>
      <c r="S51" s="5"/>
    </row>
    <row r="52" spans="1:19">
      <c r="A52" s="19" t="s">
        <v>95</v>
      </c>
      <c r="B52" s="103"/>
      <c r="C52" s="105"/>
      <c r="D52" s="104"/>
      <c r="E52" s="104"/>
      <c r="F52" s="104"/>
      <c r="G52" s="104"/>
      <c r="H52" s="104"/>
      <c r="I52" s="104"/>
      <c r="J52" s="104"/>
      <c r="K52" s="104"/>
      <c r="L52" s="104"/>
      <c r="M52" s="104"/>
      <c r="N52" s="104"/>
      <c r="P52" s="8"/>
      <c r="Q52" s="8"/>
      <c r="R52" s="8"/>
      <c r="S52" s="5"/>
    </row>
    <row r="53" spans="1:19">
      <c r="A53" s="102" t="s">
        <v>100</v>
      </c>
      <c r="B53" s="103">
        <f>IRR(C53:D53)</f>
        <v>0.16888888888888887</v>
      </c>
      <c r="C53" s="104">
        <f>-C28</f>
        <v>-179999.99999999994</v>
      </c>
      <c r="D53" s="104">
        <f>MIN(D48,MAX(B3*C11*(1+B4),B3*C11*(1+B4)+(D48-B3*C11*(1+B4)-(1-B3)*C11)*B5))</f>
        <v>210399.99999999997</v>
      </c>
      <c r="E53" s="104"/>
      <c r="F53" s="104"/>
      <c r="G53" s="104"/>
      <c r="H53" s="104"/>
      <c r="I53" s="104"/>
      <c r="J53" s="104"/>
      <c r="K53" s="104"/>
      <c r="L53" s="104"/>
      <c r="M53" s="104"/>
      <c r="N53" s="104"/>
      <c r="P53" s="8"/>
      <c r="Q53" s="8"/>
      <c r="R53" s="8"/>
      <c r="S53" s="5"/>
    </row>
    <row r="54" spans="1:19">
      <c r="A54" s="102" t="s">
        <v>94</v>
      </c>
      <c r="B54" s="103">
        <f>IRR(C54:N54)</f>
        <v>8.1268945889091171E-2</v>
      </c>
      <c r="C54" s="104">
        <f>-C28</f>
        <v>-179999.99999999994</v>
      </c>
      <c r="D54" s="104">
        <f>-D28+IF(D21+D30+D31&gt;=0,-D30-D31+$B5*(D21+D30+D31),0)</f>
        <v>0</v>
      </c>
      <c r="E54" s="104">
        <f>-E28+IF(E21+E30+E31&gt;=0,-E30-E31+$B5*(E21+E30+E31),0)</f>
        <v>16749.999999999993</v>
      </c>
      <c r="F54" s="104">
        <f t="shared" ref="F54:M54" si="18">-F28+IF(F21+F30+F31&gt;=0,-F30-F31+$B5*(F21+F30+F31),0)</f>
        <v>17043.939999999995</v>
      </c>
      <c r="G54" s="104">
        <f t="shared" si="18"/>
        <v>-28641.600000000002</v>
      </c>
      <c r="H54" s="104">
        <f t="shared" si="18"/>
        <v>18898.059999999998</v>
      </c>
      <c r="I54" s="104">
        <f t="shared" si="18"/>
        <v>18758.639379999986</v>
      </c>
      <c r="J54" s="104">
        <f t="shared" si="18"/>
        <v>16439.549502999995</v>
      </c>
      <c r="K54" s="104">
        <f t="shared" si="18"/>
        <v>16809.852518029998</v>
      </c>
      <c r="L54" s="104">
        <f t="shared" si="18"/>
        <v>-25336.69098622146</v>
      </c>
      <c r="M54" s="104">
        <f t="shared" si="18"/>
        <v>22601.402337684805</v>
      </c>
      <c r="N54" s="104">
        <f>-N28+IF(N21+N30+N31&gt;=0,-N30-N31+$B5*(N21+N30+N31),0)-N35+IF(N22+N35+N36&gt;=0,$B5*(N22+N35+N36))</f>
        <v>312495.97863234032</v>
      </c>
      <c r="O54" s="108"/>
      <c r="P54" s="39"/>
      <c r="Q54" s="8"/>
      <c r="R54" s="8"/>
      <c r="S54" s="5"/>
    </row>
    <row r="55" spans="1:19">
      <c r="A55" s="102"/>
      <c r="B55" s="103"/>
      <c r="C55" s="104"/>
      <c r="D55" s="104"/>
      <c r="E55" s="104"/>
      <c r="F55" s="104"/>
      <c r="G55" s="104"/>
      <c r="H55" s="104"/>
      <c r="I55" s="104"/>
      <c r="J55" s="104"/>
      <c r="K55" s="104"/>
      <c r="L55" s="104"/>
      <c r="M55" s="104"/>
      <c r="N55" s="104"/>
      <c r="P55" s="39"/>
      <c r="Q55" s="8"/>
      <c r="R55" s="8"/>
      <c r="S55" s="5"/>
    </row>
    <row r="56" spans="1:19" ht="13.8">
      <c r="A56" s="19" t="s">
        <v>96</v>
      </c>
      <c r="B56" s="103"/>
      <c r="C56" s="104"/>
      <c r="D56" s="104"/>
      <c r="E56" s="104"/>
      <c r="F56" s="104"/>
      <c r="G56" s="104"/>
      <c r="H56" s="104"/>
      <c r="I56" s="104"/>
      <c r="J56" s="104"/>
      <c r="K56" s="104"/>
      <c r="L56" s="104"/>
      <c r="M56" s="104"/>
      <c r="N56" s="104"/>
      <c r="P56" s="40"/>
      <c r="R56" s="8"/>
      <c r="S56" s="5"/>
    </row>
    <row r="57" spans="1:19">
      <c r="A57" s="102" t="s">
        <v>100</v>
      </c>
      <c r="B57" s="103">
        <f>IRR(C57:D57)</f>
        <v>0.98000000000000109</v>
      </c>
      <c r="C57" s="104">
        <f>-(C11-C28)</f>
        <v>-20000</v>
      </c>
      <c r="D57" s="104">
        <f>D48-D53</f>
        <v>39600.000000000029</v>
      </c>
      <c r="E57" s="104"/>
      <c r="F57" s="104"/>
      <c r="G57" s="104"/>
      <c r="H57" s="104"/>
      <c r="I57" s="104"/>
      <c r="J57" s="104"/>
      <c r="K57" s="104"/>
      <c r="L57" s="104"/>
      <c r="M57" s="104"/>
      <c r="N57" s="104"/>
      <c r="P57" s="39"/>
      <c r="Q57" s="8"/>
      <c r="R57" s="8"/>
      <c r="S57" s="5"/>
    </row>
    <row r="58" spans="1:19">
      <c r="A58" s="102" t="s">
        <v>94</v>
      </c>
      <c r="B58" s="103">
        <f>IRR(C58:N58)</f>
        <v>0.1461791883798822</v>
      </c>
      <c r="C58" s="104">
        <f>-(C11-C28)</f>
        <v>-20000</v>
      </c>
      <c r="D58" s="104">
        <f>D50-D54</f>
        <v>0</v>
      </c>
      <c r="E58" s="104">
        <f t="shared" ref="E58:N58" si="19">E50-E54</f>
        <v>0</v>
      </c>
      <c r="F58" s="104">
        <f t="shared" si="19"/>
        <v>416.05999999999767</v>
      </c>
      <c r="G58" s="104">
        <f t="shared" si="19"/>
        <v>-3182.3999999999978</v>
      </c>
      <c r="H58" s="104">
        <f t="shared" si="19"/>
        <v>0</v>
      </c>
      <c r="I58" s="104">
        <f t="shared" si="19"/>
        <v>867.6012200000041</v>
      </c>
      <c r="J58" s="104">
        <f t="shared" si="19"/>
        <v>3921.0535030000028</v>
      </c>
      <c r="K58" s="104">
        <f t="shared" si="19"/>
        <v>4291.3565180299993</v>
      </c>
      <c r="L58" s="104">
        <f t="shared" si="19"/>
        <v>-2815.1878873579408</v>
      </c>
      <c r="M58" s="104">
        <f t="shared" si="19"/>
        <v>0</v>
      </c>
      <c r="N58" s="104">
        <f t="shared" si="19"/>
        <v>85487.263139925839</v>
      </c>
      <c r="O58" s="108"/>
      <c r="P58" s="39"/>
      <c r="Q58" s="8"/>
      <c r="R58" s="8"/>
      <c r="S58" s="5"/>
    </row>
    <row r="59" spans="1:19">
      <c r="A59" s="3"/>
      <c r="B59" s="4"/>
      <c r="C59" s="9"/>
      <c r="D59" s="4"/>
      <c r="E59" s="8"/>
      <c r="F59" s="8"/>
      <c r="G59" s="8"/>
      <c r="H59" s="8"/>
      <c r="I59" s="8"/>
      <c r="J59" s="8"/>
      <c r="K59" s="8"/>
      <c r="L59" s="8"/>
      <c r="M59" s="8"/>
      <c r="N59" s="8"/>
      <c r="O59" s="8"/>
      <c r="P59" s="8"/>
      <c r="Q59" s="8"/>
      <c r="R59" s="8"/>
      <c r="S59" s="5"/>
    </row>
    <row r="60" spans="1:19">
      <c r="A60" s="3" t="s">
        <v>79</v>
      </c>
      <c r="B60" s="4"/>
      <c r="C60" s="9"/>
      <c r="D60" s="4"/>
      <c r="E60" s="8"/>
      <c r="F60" s="8"/>
      <c r="G60" s="8"/>
      <c r="H60" s="8"/>
      <c r="I60" s="8"/>
      <c r="J60" s="8"/>
      <c r="K60" s="8"/>
      <c r="L60" s="8"/>
      <c r="M60" s="8"/>
      <c r="N60" s="8"/>
      <c r="O60" s="8"/>
      <c r="P60" s="8"/>
      <c r="Q60" s="8"/>
      <c r="R60" s="8"/>
      <c r="S60" s="5"/>
    </row>
    <row r="61" spans="1:19">
      <c r="A61" s="4" t="s">
        <v>81</v>
      </c>
      <c r="B61" s="4"/>
      <c r="C61" s="9"/>
      <c r="D61" s="4"/>
      <c r="E61" s="8"/>
      <c r="F61" s="8"/>
      <c r="G61" s="8"/>
      <c r="H61" s="8"/>
      <c r="I61" s="8"/>
      <c r="J61" s="8"/>
      <c r="K61" s="8"/>
      <c r="L61" s="8"/>
      <c r="M61" s="8"/>
      <c r="N61" s="8"/>
      <c r="O61" s="8"/>
      <c r="P61" s="8"/>
      <c r="Q61" s="8"/>
      <c r="R61" s="8"/>
      <c r="S61" s="5"/>
    </row>
    <row r="62" spans="1:19">
      <c r="A62" s="4"/>
      <c r="B62" s="4"/>
      <c r="C62" s="9"/>
      <c r="D62" s="4"/>
      <c r="E62" s="8"/>
      <c r="F62" s="8"/>
      <c r="G62" s="8"/>
      <c r="H62" s="8"/>
      <c r="I62" s="8"/>
      <c r="J62" s="8"/>
      <c r="K62" s="8"/>
      <c r="L62" s="8"/>
      <c r="M62" s="8"/>
      <c r="N62" s="8"/>
      <c r="O62" s="8"/>
      <c r="P62" s="8"/>
      <c r="Q62" s="8"/>
      <c r="R62" s="8"/>
      <c r="S62" s="5"/>
    </row>
    <row r="63" spans="1:19">
      <c r="A63" s="4"/>
      <c r="B63" s="4"/>
      <c r="C63" s="34"/>
      <c r="D63" s="4"/>
      <c r="E63" s="8"/>
      <c r="F63" s="8"/>
      <c r="G63" s="8"/>
      <c r="H63" s="8"/>
      <c r="I63" s="8"/>
      <c r="J63" s="8"/>
      <c r="K63" s="8"/>
      <c r="L63" s="8"/>
      <c r="M63" s="8"/>
      <c r="N63" s="8"/>
      <c r="O63" s="8"/>
      <c r="P63" s="8"/>
      <c r="Q63" s="8"/>
      <c r="R63" s="8"/>
      <c r="S63" s="5"/>
    </row>
    <row r="64" spans="1:19">
      <c r="A64" s="6"/>
      <c r="B64" s="4"/>
      <c r="C64" s="34"/>
      <c r="D64" s="8"/>
      <c r="E64" s="8"/>
      <c r="F64" s="8"/>
      <c r="G64" s="8"/>
      <c r="H64" s="16"/>
      <c r="I64" s="8"/>
      <c r="J64" s="8"/>
      <c r="K64" s="8"/>
      <c r="L64" s="8"/>
      <c r="M64" s="8"/>
      <c r="N64" s="8"/>
      <c r="O64" s="8"/>
      <c r="P64" s="8"/>
      <c r="Q64" s="8"/>
      <c r="R64" s="8"/>
      <c r="S64" s="5"/>
    </row>
    <row r="65" spans="1:19">
      <c r="A65" s="6"/>
      <c r="B65" s="4"/>
      <c r="C65" s="34"/>
      <c r="D65" s="8"/>
      <c r="E65" s="8"/>
      <c r="F65" s="8"/>
      <c r="G65" s="8"/>
      <c r="H65" s="8"/>
      <c r="I65" s="8"/>
      <c r="J65" s="8"/>
      <c r="K65" s="8"/>
      <c r="L65" s="8"/>
      <c r="M65" s="8"/>
      <c r="N65" s="8"/>
      <c r="O65" s="8"/>
      <c r="P65" s="8"/>
      <c r="Q65" s="8"/>
      <c r="R65" s="8"/>
      <c r="S65" s="5"/>
    </row>
    <row r="66" spans="1:19">
      <c r="A66" s="6"/>
      <c r="B66" s="4"/>
      <c r="C66" s="34"/>
      <c r="D66" s="8"/>
      <c r="E66" s="8"/>
      <c r="F66" s="8"/>
      <c r="G66" s="8"/>
      <c r="H66" s="8"/>
      <c r="I66" s="8"/>
      <c r="J66" s="8"/>
      <c r="K66" s="8"/>
      <c r="L66" s="8"/>
      <c r="M66" s="8"/>
      <c r="N66" s="8"/>
      <c r="O66" s="8"/>
      <c r="P66" s="8"/>
      <c r="Q66" s="8"/>
      <c r="R66" s="8"/>
      <c r="S66" s="5"/>
    </row>
    <row r="67" spans="1:19">
      <c r="A67" s="6"/>
      <c r="B67" s="4"/>
      <c r="C67" s="9"/>
      <c r="D67" s="4"/>
      <c r="E67" s="16"/>
      <c r="F67" s="16"/>
      <c r="G67" s="16"/>
      <c r="H67" s="16"/>
      <c r="I67" s="16"/>
      <c r="J67" s="16"/>
      <c r="K67" s="16"/>
      <c r="L67" s="16"/>
      <c r="M67" s="16"/>
      <c r="N67" s="16"/>
      <c r="O67" s="16"/>
      <c r="P67" s="16"/>
      <c r="Q67" s="16"/>
      <c r="R67" s="8"/>
      <c r="S67" s="5"/>
    </row>
    <row r="68" spans="1:19">
      <c r="A68" s="6"/>
      <c r="B68" s="4"/>
      <c r="C68" s="9"/>
      <c r="D68" s="4"/>
      <c r="E68" s="16"/>
      <c r="F68" s="16"/>
      <c r="G68" s="16"/>
      <c r="H68" s="16"/>
      <c r="I68" s="16"/>
      <c r="J68" s="16"/>
      <c r="K68" s="16"/>
      <c r="L68" s="16"/>
      <c r="M68" s="16"/>
      <c r="N68" s="16"/>
      <c r="O68" s="16"/>
      <c r="P68" s="16"/>
      <c r="Q68" s="16"/>
      <c r="R68" s="8"/>
      <c r="S68" s="5"/>
    </row>
    <row r="69" spans="1:19">
      <c r="A69" s="6"/>
      <c r="B69" s="4"/>
      <c r="C69" s="9"/>
      <c r="D69" s="4"/>
      <c r="E69" s="8"/>
      <c r="F69" s="8"/>
      <c r="G69" s="8"/>
      <c r="H69" s="8"/>
      <c r="I69" s="8"/>
      <c r="J69" s="8"/>
      <c r="K69" s="8"/>
      <c r="L69" s="8"/>
      <c r="M69" s="8"/>
      <c r="N69" s="8"/>
      <c r="O69" s="8"/>
      <c r="P69" s="8"/>
      <c r="Q69" s="8"/>
      <c r="R69" s="8"/>
      <c r="S69" s="5"/>
    </row>
    <row r="70" spans="1:19">
      <c r="A70" s="4"/>
      <c r="B70" s="4"/>
      <c r="C70" s="9"/>
      <c r="D70" s="4"/>
      <c r="E70" s="7"/>
      <c r="F70" s="4"/>
      <c r="G70" s="4"/>
      <c r="H70" s="8"/>
      <c r="I70" s="4"/>
      <c r="J70" s="4"/>
      <c r="K70" s="4"/>
      <c r="L70" s="4"/>
      <c r="M70" s="4"/>
      <c r="N70" s="4"/>
      <c r="O70" s="4"/>
      <c r="P70" s="4"/>
      <c r="Q70" s="4"/>
      <c r="R70" s="4"/>
      <c r="S70" s="5"/>
    </row>
    <row r="71" spans="1:19">
      <c r="A71" s="4"/>
      <c r="B71" s="4"/>
      <c r="C71" s="9"/>
      <c r="D71" s="4"/>
      <c r="E71" s="4"/>
      <c r="F71" s="4"/>
      <c r="G71" s="4"/>
      <c r="H71" s="8"/>
      <c r="I71" s="4"/>
      <c r="J71" s="4"/>
      <c r="K71" s="4"/>
      <c r="L71" s="4"/>
      <c r="M71" s="4"/>
      <c r="N71" s="4"/>
      <c r="O71" s="4"/>
      <c r="P71" s="4"/>
      <c r="Q71" s="4"/>
      <c r="R71" s="4"/>
    </row>
    <row r="72" spans="1:19">
      <c r="A72" s="4"/>
      <c r="B72" s="4"/>
      <c r="C72" s="9"/>
      <c r="D72" s="4"/>
      <c r="E72" s="8"/>
      <c r="F72" s="4"/>
      <c r="G72" s="4"/>
      <c r="H72" s="8"/>
      <c r="I72" s="4"/>
      <c r="J72" s="4"/>
      <c r="K72" s="4"/>
      <c r="L72" s="4"/>
      <c r="M72" s="4"/>
      <c r="N72" s="4"/>
      <c r="O72" s="4"/>
      <c r="P72" s="4"/>
      <c r="Q72" s="4"/>
      <c r="R72" s="4"/>
    </row>
    <row r="73" spans="1:19">
      <c r="A73" s="4"/>
      <c r="B73" s="4"/>
      <c r="C73" s="9"/>
      <c r="D73" s="4"/>
      <c r="E73" s="8"/>
      <c r="F73" s="4"/>
      <c r="G73" s="4"/>
      <c r="H73" s="8"/>
      <c r="I73" s="4"/>
      <c r="J73" s="4"/>
      <c r="K73" s="4"/>
      <c r="L73" s="4"/>
      <c r="M73" s="4"/>
      <c r="N73" s="4"/>
      <c r="O73" s="4"/>
      <c r="P73" s="4"/>
      <c r="Q73" s="4"/>
      <c r="R73" s="4"/>
    </row>
    <row r="74" spans="1:19">
      <c r="A74" s="4"/>
      <c r="B74" s="4"/>
      <c r="C74" s="34"/>
      <c r="D74" s="4"/>
      <c r="E74" s="4"/>
      <c r="F74" s="4"/>
      <c r="G74" s="4"/>
      <c r="H74" s="4"/>
      <c r="I74" s="4"/>
      <c r="J74" s="4"/>
      <c r="K74" s="4"/>
      <c r="L74" s="4"/>
      <c r="M74" s="4"/>
      <c r="N74" s="4"/>
      <c r="O74" s="4"/>
      <c r="P74" s="4"/>
      <c r="Q74" s="4"/>
      <c r="R74" s="4"/>
    </row>
    <row r="75" spans="1:19">
      <c r="A75" s="6"/>
      <c r="B75" s="4"/>
      <c r="C75" s="34"/>
      <c r="D75" s="8"/>
      <c r="E75" s="8"/>
      <c r="F75" s="8"/>
      <c r="G75" s="8"/>
      <c r="H75" s="8"/>
      <c r="I75" s="4"/>
      <c r="J75" s="4"/>
      <c r="K75" s="4"/>
      <c r="L75" s="4"/>
      <c r="M75" s="4"/>
      <c r="N75" s="4"/>
      <c r="O75" s="4"/>
      <c r="P75" s="4"/>
      <c r="Q75" s="4"/>
      <c r="R75" s="4"/>
    </row>
    <row r="76" spans="1:19">
      <c r="A76" s="6"/>
      <c r="B76" s="4"/>
      <c r="C76" s="34"/>
      <c r="D76" s="8"/>
      <c r="E76" s="8"/>
      <c r="F76" s="8"/>
      <c r="G76" s="8"/>
      <c r="H76" s="8"/>
      <c r="I76" s="4"/>
      <c r="J76" s="4"/>
      <c r="K76" s="4"/>
      <c r="L76" s="4"/>
      <c r="M76" s="4"/>
      <c r="N76" s="4"/>
      <c r="O76" s="4"/>
      <c r="P76" s="4"/>
      <c r="Q76" s="4"/>
      <c r="R76" s="4"/>
    </row>
    <row r="77" spans="1:19">
      <c r="A77" s="6"/>
      <c r="B77" s="4"/>
      <c r="C77" s="34"/>
      <c r="D77" s="8"/>
      <c r="E77" s="8"/>
      <c r="F77" s="8"/>
      <c r="G77" s="8"/>
      <c r="H77" s="8"/>
      <c r="I77" s="4"/>
      <c r="J77" s="4"/>
      <c r="K77" s="4"/>
      <c r="L77" s="4"/>
      <c r="M77" s="4"/>
      <c r="N77" s="4"/>
      <c r="O77" s="4"/>
      <c r="P77" s="4"/>
      <c r="Q77" s="4"/>
      <c r="R77" s="4"/>
    </row>
    <row r="78" spans="1:19">
      <c r="A78" s="6"/>
      <c r="B78" s="4"/>
      <c r="C78" s="9"/>
      <c r="D78" s="4"/>
      <c r="E78" s="8"/>
      <c r="F78" s="4"/>
      <c r="G78" s="4"/>
      <c r="H78" s="8"/>
      <c r="I78" s="4"/>
      <c r="J78" s="4"/>
      <c r="K78" s="4"/>
      <c r="L78" s="4"/>
      <c r="M78" s="4"/>
      <c r="N78" s="4"/>
      <c r="O78" s="4"/>
      <c r="P78" s="4"/>
      <c r="Q78" s="4"/>
      <c r="R78" s="4"/>
    </row>
    <row r="79" spans="1:19">
      <c r="A79" s="4"/>
      <c r="B79" s="4"/>
      <c r="C79" s="9"/>
      <c r="D79" s="4"/>
      <c r="E79" s="4"/>
      <c r="F79" s="4"/>
      <c r="G79" s="4"/>
      <c r="H79" s="4"/>
      <c r="I79" s="4"/>
      <c r="J79" s="4"/>
      <c r="K79" s="4"/>
      <c r="L79" s="4"/>
      <c r="M79" s="4"/>
      <c r="N79" s="4"/>
      <c r="O79" s="4"/>
      <c r="P79" s="4"/>
      <c r="Q79" s="4"/>
      <c r="R79" s="4"/>
    </row>
    <row r="80" spans="1:19">
      <c r="A80" s="4"/>
      <c r="B80" s="4"/>
      <c r="C80" s="9"/>
      <c r="D80" s="4"/>
      <c r="E80" s="4"/>
      <c r="F80" s="4"/>
      <c r="G80" s="4"/>
      <c r="H80" s="4"/>
      <c r="I80" s="4"/>
      <c r="J80" s="4"/>
      <c r="K80" s="4"/>
      <c r="L80" s="4"/>
      <c r="M80" s="4"/>
      <c r="N80" s="4"/>
      <c r="O80" s="4"/>
      <c r="P80" s="4"/>
      <c r="Q80" s="4"/>
      <c r="R80" s="4"/>
    </row>
    <row r="81" spans="1:18">
      <c r="A81" s="4"/>
      <c r="B81" s="4"/>
      <c r="C81" s="9"/>
      <c r="D81" s="4"/>
      <c r="E81" s="4"/>
      <c r="F81" s="4"/>
      <c r="G81" s="4"/>
      <c r="H81" s="4"/>
      <c r="I81" s="4"/>
      <c r="J81" s="4"/>
      <c r="K81" s="4"/>
      <c r="L81" s="4"/>
      <c r="M81" s="4"/>
      <c r="N81" s="4"/>
      <c r="O81" s="4"/>
      <c r="P81" s="4"/>
      <c r="Q81" s="4"/>
      <c r="R81" s="4"/>
    </row>
    <row r="82" spans="1:18">
      <c r="A82" s="4"/>
      <c r="B82" s="4"/>
      <c r="C82" s="9"/>
      <c r="D82" s="4"/>
      <c r="E82" s="4"/>
      <c r="F82" s="4"/>
      <c r="G82" s="4"/>
      <c r="H82" s="4"/>
      <c r="I82" s="4"/>
      <c r="J82" s="4"/>
      <c r="K82" s="4"/>
      <c r="L82" s="4"/>
      <c r="M82" s="4"/>
      <c r="N82" s="4"/>
      <c r="O82" s="4"/>
      <c r="P82" s="4"/>
      <c r="Q82" s="4"/>
      <c r="R82" s="4"/>
    </row>
    <row r="83" spans="1:18">
      <c r="A83" s="4"/>
      <c r="B83" s="4"/>
      <c r="C83" s="9"/>
      <c r="D83" s="4"/>
      <c r="E83" s="4"/>
      <c r="F83" s="4"/>
      <c r="G83" s="4"/>
      <c r="H83" s="4"/>
      <c r="I83" s="4"/>
      <c r="J83" s="4"/>
      <c r="K83" s="4"/>
      <c r="L83" s="4"/>
      <c r="M83" s="4"/>
      <c r="N83" s="4"/>
      <c r="O83" s="4"/>
      <c r="P83" s="4"/>
      <c r="Q83" s="4"/>
      <c r="R83" s="4"/>
    </row>
    <row r="84" spans="1:18">
      <c r="A84" s="4"/>
      <c r="B84" s="4"/>
      <c r="C84" s="9"/>
      <c r="D84" s="4"/>
      <c r="E84" s="4"/>
      <c r="F84" s="4"/>
      <c r="G84" s="4"/>
      <c r="H84" s="4"/>
      <c r="I84" s="4"/>
      <c r="J84" s="4"/>
      <c r="K84" s="4"/>
      <c r="L84" s="4"/>
      <c r="M84" s="4"/>
      <c r="N84" s="4"/>
      <c r="O84" s="4"/>
      <c r="P84" s="4"/>
      <c r="Q84" s="4"/>
      <c r="R84" s="4"/>
    </row>
    <row r="85" spans="1:18">
      <c r="A85" s="4"/>
      <c r="B85" s="4"/>
      <c r="C85" s="9"/>
      <c r="D85" s="4"/>
      <c r="E85" s="4"/>
      <c r="F85" s="4"/>
      <c r="G85" s="4"/>
      <c r="H85" s="4"/>
      <c r="I85" s="4"/>
      <c r="J85" s="4"/>
      <c r="K85" s="4"/>
      <c r="L85" s="4"/>
      <c r="M85" s="4"/>
      <c r="N85" s="4"/>
      <c r="O85" s="4"/>
      <c r="P85" s="4"/>
      <c r="Q85" s="4"/>
      <c r="R85" s="4"/>
    </row>
    <row r="86" spans="1:18">
      <c r="A86" s="4"/>
      <c r="B86" s="4"/>
      <c r="C86" s="9"/>
      <c r="D86" s="4"/>
      <c r="E86" s="4"/>
      <c r="F86" s="4"/>
      <c r="G86" s="4"/>
      <c r="H86" s="4"/>
      <c r="I86" s="4"/>
      <c r="J86" s="4"/>
      <c r="K86" s="4"/>
      <c r="L86" s="4"/>
      <c r="M86" s="4"/>
      <c r="N86" s="4"/>
      <c r="O86" s="4"/>
      <c r="P86" s="4"/>
      <c r="Q86" s="4"/>
      <c r="R86" s="4"/>
    </row>
    <row r="87" spans="1:18">
      <c r="A87" s="4"/>
      <c r="B87" s="4"/>
      <c r="C87" s="9"/>
      <c r="D87" s="4"/>
      <c r="E87" s="4"/>
      <c r="F87" s="4"/>
      <c r="G87" s="4"/>
      <c r="H87" s="4"/>
      <c r="I87" s="4"/>
      <c r="J87" s="4"/>
      <c r="K87" s="4"/>
      <c r="L87" s="4"/>
      <c r="M87" s="4"/>
      <c r="N87" s="4"/>
      <c r="O87" s="4"/>
      <c r="P87" s="4"/>
      <c r="Q87" s="4"/>
      <c r="R87" s="4"/>
    </row>
    <row r="88" spans="1:18">
      <c r="A88" s="4"/>
      <c r="B88" s="4"/>
      <c r="C88" s="9"/>
      <c r="D88" s="4"/>
      <c r="E88" s="4"/>
      <c r="F88" s="4"/>
      <c r="G88" s="4"/>
      <c r="H88" s="4"/>
      <c r="I88" s="4"/>
      <c r="J88" s="4"/>
      <c r="K88" s="4"/>
      <c r="L88" s="4"/>
      <c r="M88" s="4"/>
      <c r="N88" s="4"/>
      <c r="O88" s="4"/>
      <c r="P88" s="4"/>
      <c r="Q88" s="4"/>
      <c r="R88" s="4"/>
    </row>
    <row r="89" spans="1:18">
      <c r="A89" s="4"/>
      <c r="B89" s="4"/>
      <c r="C89" s="9"/>
      <c r="D89" s="4"/>
      <c r="E89" s="4"/>
      <c r="F89" s="4"/>
      <c r="G89" s="4"/>
      <c r="H89" s="4"/>
      <c r="I89" s="4"/>
      <c r="J89" s="4"/>
      <c r="K89" s="4"/>
      <c r="L89" s="4"/>
      <c r="M89" s="4"/>
      <c r="N89" s="4"/>
      <c r="O89" s="4"/>
      <c r="P89" s="4"/>
      <c r="Q89" s="4"/>
      <c r="R89" s="4"/>
    </row>
    <row r="90" spans="1:18">
      <c r="A90" s="4"/>
      <c r="B90" s="4"/>
      <c r="C90" s="9"/>
      <c r="D90" s="4"/>
      <c r="E90" s="4"/>
      <c r="F90" s="4"/>
      <c r="G90" s="4"/>
      <c r="H90" s="4"/>
      <c r="I90" s="4"/>
      <c r="J90" s="4"/>
      <c r="K90" s="4"/>
      <c r="L90" s="4"/>
      <c r="M90" s="4"/>
      <c r="N90" s="4"/>
      <c r="O90" s="4"/>
      <c r="P90" s="4"/>
      <c r="Q90" s="4"/>
      <c r="R90" s="4"/>
    </row>
    <row r="91" spans="1:18">
      <c r="A91" s="4"/>
      <c r="B91" s="4"/>
      <c r="C91" s="9"/>
      <c r="D91" s="4"/>
      <c r="E91" s="4"/>
      <c r="F91" s="4"/>
      <c r="G91" s="4"/>
      <c r="H91" s="4"/>
      <c r="I91" s="4"/>
      <c r="J91" s="4"/>
      <c r="K91" s="4"/>
      <c r="L91" s="4"/>
      <c r="M91" s="4"/>
      <c r="N91" s="4"/>
      <c r="O91" s="4"/>
      <c r="P91" s="4"/>
      <c r="Q91" s="4"/>
      <c r="R91" s="4"/>
    </row>
    <row r="92" spans="1:18">
      <c r="A92" s="4"/>
      <c r="B92" s="4"/>
      <c r="C92" s="9"/>
      <c r="D92" s="4"/>
      <c r="E92" s="4"/>
      <c r="F92" s="4"/>
      <c r="G92" s="4"/>
      <c r="H92" s="4"/>
      <c r="I92" s="4"/>
      <c r="J92" s="4"/>
      <c r="K92" s="4"/>
      <c r="L92" s="4"/>
      <c r="M92" s="4"/>
      <c r="N92" s="4"/>
      <c r="O92" s="4"/>
      <c r="P92" s="4"/>
      <c r="Q92" s="4"/>
      <c r="R92" s="4"/>
    </row>
    <row r="93" spans="1:18">
      <c r="A93" s="4"/>
      <c r="B93" s="4"/>
      <c r="C93" s="9"/>
      <c r="D93" s="4"/>
      <c r="E93" s="4"/>
      <c r="F93" s="4"/>
      <c r="G93" s="4"/>
      <c r="H93" s="4"/>
      <c r="I93" s="4"/>
      <c r="J93" s="4"/>
      <c r="K93" s="4"/>
      <c r="L93" s="4"/>
      <c r="M93" s="4"/>
      <c r="N93" s="4"/>
      <c r="O93" s="4"/>
      <c r="P93" s="4"/>
      <c r="Q93" s="4"/>
      <c r="R93" s="4"/>
    </row>
    <row r="94" spans="1:18">
      <c r="A94" s="4"/>
      <c r="B94" s="4"/>
      <c r="C94" s="9"/>
      <c r="D94" s="4"/>
      <c r="E94" s="4"/>
      <c r="F94" s="4"/>
      <c r="G94" s="4"/>
      <c r="H94" s="4"/>
      <c r="I94" s="4"/>
      <c r="J94" s="4"/>
      <c r="K94" s="4"/>
      <c r="L94" s="4"/>
      <c r="M94" s="4"/>
      <c r="N94" s="4"/>
      <c r="O94" s="4"/>
      <c r="P94" s="4"/>
      <c r="Q94" s="4"/>
      <c r="R94" s="4"/>
    </row>
    <row r="95" spans="1:18">
      <c r="A95" s="4"/>
      <c r="B95" s="4"/>
      <c r="C95" s="9"/>
      <c r="D95" s="4"/>
      <c r="E95" s="4"/>
      <c r="F95" s="4"/>
      <c r="G95" s="4"/>
      <c r="H95" s="4"/>
      <c r="I95" s="4"/>
      <c r="J95" s="4"/>
      <c r="K95" s="4"/>
      <c r="L95" s="4"/>
      <c r="M95" s="4"/>
      <c r="N95" s="4"/>
      <c r="O95" s="4"/>
      <c r="P95" s="4"/>
      <c r="Q95" s="4"/>
      <c r="R95" s="4"/>
    </row>
    <row r="96" spans="1:18">
      <c r="A96" s="4"/>
      <c r="B96" s="4"/>
      <c r="C96" s="9"/>
      <c r="D96" s="4"/>
      <c r="E96" s="4"/>
      <c r="F96" s="4"/>
      <c r="G96" s="4"/>
      <c r="H96" s="4"/>
      <c r="I96" s="4"/>
      <c r="J96" s="4"/>
      <c r="K96" s="4"/>
      <c r="L96" s="4"/>
      <c r="M96" s="4"/>
      <c r="N96" s="4"/>
      <c r="O96" s="4"/>
      <c r="P96" s="4"/>
      <c r="Q96" s="4"/>
      <c r="R96" s="4"/>
    </row>
    <row r="97" spans="1:18">
      <c r="A97" s="4"/>
      <c r="B97" s="4"/>
      <c r="C97" s="9"/>
      <c r="D97" s="4"/>
      <c r="E97" s="4"/>
      <c r="F97" s="4"/>
      <c r="G97" s="4"/>
      <c r="H97" s="4"/>
      <c r="I97" s="4"/>
      <c r="J97" s="4"/>
      <c r="K97" s="4"/>
      <c r="L97" s="4"/>
      <c r="M97" s="4"/>
      <c r="N97" s="4"/>
      <c r="O97" s="4"/>
      <c r="P97" s="4"/>
      <c r="Q97" s="4"/>
      <c r="R97" s="4"/>
    </row>
    <row r="98" spans="1:18">
      <c r="A98" s="4"/>
      <c r="B98" s="4"/>
      <c r="C98" s="9"/>
      <c r="D98" s="4"/>
      <c r="E98" s="4"/>
      <c r="F98" s="4"/>
      <c r="G98" s="4"/>
      <c r="H98" s="4"/>
      <c r="I98" s="4"/>
      <c r="J98" s="4"/>
      <c r="K98" s="4"/>
      <c r="L98" s="4"/>
      <c r="M98" s="4"/>
      <c r="N98" s="4"/>
      <c r="O98" s="4"/>
      <c r="P98" s="4"/>
      <c r="Q98" s="4"/>
      <c r="R98" s="4"/>
    </row>
    <row r="99" spans="1:18">
      <c r="A99" s="4"/>
      <c r="B99" s="4"/>
      <c r="C99" s="9"/>
      <c r="D99" s="4"/>
      <c r="E99" s="4"/>
      <c r="F99" s="4"/>
      <c r="G99" s="4"/>
      <c r="H99" s="4"/>
      <c r="I99" s="4"/>
      <c r="J99" s="4"/>
      <c r="K99" s="4"/>
      <c r="L99" s="4"/>
      <c r="M99" s="4"/>
      <c r="N99" s="4"/>
      <c r="O99" s="4"/>
      <c r="P99" s="4"/>
      <c r="Q99" s="4"/>
      <c r="R99" s="4"/>
    </row>
    <row r="100" spans="1:18">
      <c r="A100" s="4"/>
      <c r="B100" s="4"/>
      <c r="C100" s="9"/>
      <c r="D100" s="4"/>
      <c r="E100" s="4"/>
      <c r="F100" s="4"/>
      <c r="G100" s="4"/>
      <c r="H100" s="4"/>
      <c r="I100" s="4"/>
      <c r="J100" s="4"/>
      <c r="K100" s="4"/>
      <c r="L100" s="4"/>
      <c r="M100" s="4"/>
      <c r="N100" s="4"/>
      <c r="O100" s="4"/>
      <c r="P100" s="4"/>
      <c r="Q100" s="4"/>
      <c r="R100" s="4"/>
    </row>
    <row r="101" spans="1:18">
      <c r="A101" s="4"/>
      <c r="B101" s="4"/>
      <c r="C101" s="9"/>
      <c r="D101" s="4"/>
      <c r="E101" s="4"/>
      <c r="F101" s="4"/>
      <c r="G101" s="4"/>
      <c r="H101" s="4"/>
      <c r="I101" s="4"/>
      <c r="J101" s="4"/>
      <c r="K101" s="4"/>
      <c r="L101" s="4"/>
      <c r="M101" s="4"/>
      <c r="N101" s="4"/>
      <c r="O101" s="4"/>
      <c r="P101" s="4"/>
      <c r="Q101" s="4"/>
      <c r="R101" s="4"/>
    </row>
    <row r="102" spans="1:18">
      <c r="A102" s="4"/>
      <c r="B102" s="4"/>
      <c r="C102" s="9"/>
      <c r="D102" s="4"/>
      <c r="E102" s="4"/>
      <c r="F102" s="4"/>
      <c r="G102" s="4"/>
      <c r="H102" s="4"/>
      <c r="I102" s="4"/>
      <c r="J102" s="4"/>
      <c r="K102" s="4"/>
      <c r="L102" s="4"/>
      <c r="M102" s="4"/>
      <c r="N102" s="4"/>
      <c r="O102" s="4"/>
      <c r="P102" s="4"/>
      <c r="Q102" s="4"/>
      <c r="R102" s="4"/>
    </row>
    <row r="103" spans="1:18">
      <c r="A103" s="4"/>
      <c r="B103" s="4"/>
      <c r="C103" s="9"/>
      <c r="D103" s="4"/>
      <c r="E103" s="4"/>
      <c r="F103" s="4"/>
      <c r="G103" s="4"/>
      <c r="H103" s="4"/>
      <c r="I103" s="4"/>
      <c r="J103" s="4"/>
      <c r="K103" s="4"/>
      <c r="L103" s="4"/>
      <c r="M103" s="4"/>
      <c r="N103" s="4"/>
      <c r="O103" s="4"/>
      <c r="P103" s="4"/>
      <c r="Q103" s="4"/>
      <c r="R103" s="4"/>
    </row>
    <row r="104" spans="1:18">
      <c r="A104" s="4"/>
      <c r="B104" s="4"/>
      <c r="C104" s="9"/>
      <c r="D104" s="4"/>
      <c r="E104" s="4"/>
      <c r="F104" s="4"/>
      <c r="G104" s="4"/>
      <c r="H104" s="4"/>
      <c r="I104" s="4"/>
      <c r="J104" s="4"/>
      <c r="K104" s="4"/>
      <c r="L104" s="4"/>
      <c r="M104" s="4"/>
      <c r="N104" s="4"/>
      <c r="O104" s="4"/>
      <c r="P104" s="4"/>
      <c r="Q104" s="4"/>
      <c r="R104" s="4"/>
    </row>
    <row r="105" spans="1:18">
      <c r="A105" s="4"/>
      <c r="B105" s="4"/>
      <c r="C105" s="9"/>
      <c r="D105" s="4"/>
      <c r="E105" s="4"/>
      <c r="F105" s="4"/>
      <c r="G105" s="4"/>
      <c r="H105" s="4"/>
      <c r="I105" s="4"/>
      <c r="J105" s="4"/>
      <c r="K105" s="4"/>
      <c r="L105" s="4"/>
      <c r="M105" s="4"/>
      <c r="N105" s="4"/>
      <c r="O105" s="4"/>
      <c r="P105" s="4"/>
      <c r="Q105" s="4"/>
      <c r="R105" s="4"/>
    </row>
    <row r="106" spans="1:18">
      <c r="A106" s="4"/>
      <c r="B106" s="4"/>
      <c r="C106" s="9"/>
      <c r="D106" s="4"/>
      <c r="E106" s="4"/>
      <c r="F106" s="4"/>
      <c r="G106" s="4"/>
      <c r="H106" s="4"/>
      <c r="I106" s="4"/>
      <c r="J106" s="4"/>
      <c r="K106" s="4"/>
      <c r="L106" s="4"/>
      <c r="M106" s="4"/>
      <c r="N106" s="4"/>
      <c r="O106" s="4"/>
      <c r="P106" s="4"/>
      <c r="Q106" s="4"/>
      <c r="R106" s="4"/>
    </row>
    <row r="107" spans="1:18">
      <c r="A107" s="4"/>
      <c r="B107" s="4"/>
      <c r="C107" s="9"/>
      <c r="D107" s="4"/>
      <c r="E107" s="4"/>
      <c r="F107" s="4"/>
      <c r="G107" s="4"/>
      <c r="H107" s="4"/>
      <c r="I107" s="4"/>
      <c r="J107" s="4"/>
      <c r="K107" s="4"/>
      <c r="L107" s="4"/>
      <c r="M107" s="4"/>
      <c r="N107" s="4"/>
      <c r="O107" s="4"/>
      <c r="P107" s="4"/>
      <c r="Q107" s="4"/>
      <c r="R107" s="4"/>
    </row>
    <row r="108" spans="1:18">
      <c r="A108" s="4"/>
      <c r="B108" s="4"/>
      <c r="C108" s="9"/>
      <c r="D108" s="4"/>
      <c r="E108" s="4"/>
      <c r="F108" s="4"/>
      <c r="G108" s="4"/>
      <c r="H108" s="4"/>
      <c r="I108" s="4"/>
      <c r="J108" s="4"/>
      <c r="K108" s="4"/>
      <c r="L108" s="4"/>
      <c r="M108" s="4"/>
      <c r="N108" s="4"/>
      <c r="O108" s="4"/>
      <c r="P108" s="4"/>
      <c r="Q108" s="4"/>
      <c r="R108" s="4"/>
    </row>
    <row r="109" spans="1:18">
      <c r="A109" s="4"/>
      <c r="B109" s="4"/>
      <c r="C109" s="9"/>
      <c r="D109" s="4"/>
      <c r="E109" s="4"/>
      <c r="F109" s="4"/>
      <c r="G109" s="4"/>
      <c r="H109" s="4"/>
      <c r="I109" s="4"/>
      <c r="J109" s="4"/>
      <c r="K109" s="4"/>
      <c r="L109" s="4"/>
      <c r="M109" s="4"/>
      <c r="N109" s="4"/>
      <c r="O109" s="4"/>
      <c r="P109" s="4"/>
      <c r="Q109" s="4"/>
      <c r="R109" s="4"/>
    </row>
    <row r="110" spans="1:18">
      <c r="A110" s="4"/>
      <c r="B110" s="4"/>
      <c r="C110" s="9"/>
      <c r="D110" s="4"/>
      <c r="E110" s="4"/>
      <c r="F110" s="4"/>
      <c r="G110" s="4"/>
      <c r="H110" s="4"/>
      <c r="I110" s="4"/>
      <c r="J110" s="4"/>
      <c r="K110" s="4"/>
      <c r="L110" s="4"/>
      <c r="M110" s="4"/>
      <c r="N110" s="4"/>
      <c r="O110" s="4"/>
      <c r="P110" s="4"/>
      <c r="Q110" s="4"/>
      <c r="R110" s="4"/>
    </row>
    <row r="111" spans="1:18">
      <c r="A111" s="4"/>
      <c r="B111" s="4"/>
      <c r="C111" s="9"/>
      <c r="D111" s="4"/>
      <c r="E111" s="4"/>
      <c r="F111" s="4"/>
      <c r="G111" s="4"/>
      <c r="H111" s="4"/>
      <c r="I111" s="4"/>
      <c r="J111" s="4"/>
      <c r="K111" s="4"/>
      <c r="L111" s="4"/>
      <c r="M111" s="4"/>
      <c r="N111" s="4"/>
      <c r="O111" s="4"/>
      <c r="P111" s="4"/>
      <c r="Q111" s="4"/>
      <c r="R111" s="4"/>
    </row>
    <row r="112" spans="1:18">
      <c r="A112" s="4"/>
      <c r="B112" s="4"/>
      <c r="C112" s="9"/>
      <c r="D112" s="4"/>
      <c r="E112" s="4"/>
      <c r="F112" s="4"/>
      <c r="G112" s="4"/>
      <c r="H112" s="4"/>
      <c r="I112" s="4"/>
      <c r="J112" s="4"/>
      <c r="K112" s="4"/>
      <c r="L112" s="4"/>
      <c r="M112" s="4"/>
      <c r="N112" s="4"/>
      <c r="O112" s="4"/>
      <c r="P112" s="4"/>
      <c r="Q112" s="4"/>
      <c r="R112" s="4"/>
    </row>
    <row r="113" spans="1:18">
      <c r="A113" s="4"/>
      <c r="B113" s="4"/>
      <c r="C113" s="9"/>
      <c r="D113" s="4"/>
      <c r="E113" s="4"/>
      <c r="F113" s="4"/>
      <c r="G113" s="4"/>
      <c r="H113" s="4"/>
      <c r="I113" s="4"/>
      <c r="J113" s="4"/>
      <c r="K113" s="4"/>
      <c r="L113" s="4"/>
      <c r="M113" s="4"/>
      <c r="N113" s="4"/>
      <c r="O113" s="4"/>
      <c r="P113" s="4"/>
      <c r="Q113" s="4"/>
      <c r="R113" s="4"/>
    </row>
    <row r="114" spans="1:18">
      <c r="A114" s="4"/>
      <c r="B114" s="4"/>
      <c r="C114" s="9"/>
      <c r="D114" s="4"/>
      <c r="E114" s="4"/>
      <c r="F114" s="4"/>
      <c r="G114" s="4"/>
      <c r="H114" s="4"/>
      <c r="I114" s="4"/>
      <c r="J114" s="4"/>
      <c r="K114" s="4"/>
      <c r="L114" s="4"/>
      <c r="M114" s="4"/>
      <c r="N114" s="4"/>
      <c r="O114" s="4"/>
      <c r="P114" s="4"/>
      <c r="Q114" s="4"/>
      <c r="R114" s="4"/>
    </row>
    <row r="115" spans="1:18">
      <c r="A115" s="4"/>
      <c r="B115" s="4"/>
      <c r="C115" s="9"/>
      <c r="D115" s="4"/>
      <c r="E115" s="4"/>
      <c r="F115" s="4"/>
      <c r="G115" s="4"/>
      <c r="H115" s="4"/>
      <c r="I115" s="4"/>
      <c r="J115" s="4"/>
      <c r="K115" s="4"/>
      <c r="L115" s="4"/>
      <c r="M115" s="4"/>
      <c r="N115" s="4"/>
      <c r="O115" s="4"/>
      <c r="P115" s="4"/>
      <c r="Q115" s="4"/>
      <c r="R115" s="4"/>
    </row>
    <row r="116" spans="1:18">
      <c r="A116" s="4"/>
      <c r="B116" s="4"/>
      <c r="C116" s="9"/>
      <c r="D116" s="4"/>
      <c r="E116" s="4"/>
      <c r="F116" s="4"/>
      <c r="G116" s="4"/>
      <c r="H116" s="4"/>
      <c r="I116" s="4"/>
      <c r="J116" s="4"/>
      <c r="K116" s="4"/>
      <c r="L116" s="4"/>
      <c r="M116" s="4"/>
      <c r="N116" s="4"/>
      <c r="O116" s="4"/>
      <c r="P116" s="4"/>
      <c r="Q116" s="4"/>
      <c r="R116" s="4"/>
    </row>
    <row r="117" spans="1:18">
      <c r="A117" s="4"/>
      <c r="B117" s="4"/>
      <c r="C117" s="9"/>
      <c r="D117" s="4"/>
      <c r="E117" s="4"/>
      <c r="F117" s="4"/>
      <c r="G117" s="4"/>
      <c r="H117" s="4"/>
      <c r="I117" s="4"/>
      <c r="J117" s="4"/>
      <c r="K117" s="4"/>
      <c r="L117" s="4"/>
      <c r="M117" s="4"/>
      <c r="N117" s="4"/>
      <c r="O117" s="4"/>
      <c r="P117" s="4"/>
      <c r="Q117" s="4"/>
      <c r="R117" s="4"/>
    </row>
    <row r="118" spans="1:18">
      <c r="A118" s="4"/>
      <c r="B118" s="4"/>
      <c r="C118" s="9"/>
      <c r="D118" s="4"/>
      <c r="E118" s="4"/>
      <c r="F118" s="4"/>
      <c r="G118" s="4"/>
      <c r="H118" s="4"/>
      <c r="I118" s="4"/>
      <c r="J118" s="4"/>
      <c r="K118" s="4"/>
      <c r="L118" s="4"/>
      <c r="M118" s="4"/>
      <c r="N118" s="4"/>
      <c r="O118" s="4"/>
      <c r="P118" s="4"/>
      <c r="Q118" s="4"/>
      <c r="R118" s="4"/>
    </row>
    <row r="119" spans="1:18">
      <c r="A119" s="4"/>
      <c r="B119" s="4"/>
      <c r="C119" s="9"/>
      <c r="D119" s="4"/>
      <c r="E119" s="4"/>
      <c r="F119" s="4"/>
      <c r="G119" s="4"/>
      <c r="H119" s="4"/>
      <c r="I119" s="4"/>
      <c r="J119" s="4"/>
      <c r="K119" s="4"/>
      <c r="L119" s="4"/>
      <c r="M119" s="4"/>
      <c r="N119" s="4"/>
      <c r="O119" s="4"/>
      <c r="P119" s="4"/>
      <c r="Q119" s="4"/>
      <c r="R119" s="4"/>
    </row>
    <row r="120" spans="1:18">
      <c r="A120" s="4"/>
      <c r="B120" s="4"/>
      <c r="C120" s="9"/>
      <c r="D120" s="4"/>
      <c r="E120" s="4"/>
      <c r="F120" s="4"/>
      <c r="G120" s="4"/>
      <c r="H120" s="4"/>
      <c r="I120" s="4"/>
      <c r="J120" s="4"/>
      <c r="K120" s="4"/>
      <c r="L120" s="4"/>
      <c r="M120" s="4"/>
      <c r="N120" s="4"/>
      <c r="O120" s="4"/>
      <c r="P120" s="4"/>
      <c r="Q120" s="4"/>
      <c r="R120" s="4"/>
    </row>
    <row r="121" spans="1:18">
      <c r="A121" s="4"/>
      <c r="B121" s="4"/>
      <c r="C121" s="9"/>
      <c r="D121" s="4"/>
      <c r="E121" s="4"/>
      <c r="F121" s="4"/>
      <c r="G121" s="4"/>
      <c r="H121" s="4"/>
      <c r="I121" s="4"/>
      <c r="J121" s="4"/>
      <c r="K121" s="4"/>
      <c r="L121" s="4"/>
      <c r="M121" s="4"/>
      <c r="N121" s="4"/>
      <c r="O121" s="4"/>
      <c r="P121" s="4"/>
      <c r="Q121" s="4"/>
      <c r="R121" s="4"/>
    </row>
    <row r="122" spans="1:18">
      <c r="A122" s="4"/>
      <c r="B122" s="4"/>
      <c r="C122" s="9"/>
      <c r="D122" s="4"/>
      <c r="E122" s="4"/>
      <c r="F122" s="4"/>
      <c r="G122" s="4"/>
      <c r="H122" s="4"/>
      <c r="I122" s="4"/>
      <c r="J122" s="4"/>
      <c r="K122" s="4"/>
      <c r="L122" s="4"/>
      <c r="M122" s="4"/>
      <c r="N122" s="4"/>
      <c r="O122" s="4"/>
      <c r="P122" s="4"/>
      <c r="Q122" s="4"/>
      <c r="R122" s="4"/>
    </row>
    <row r="123" spans="1:18">
      <c r="A123" s="4"/>
      <c r="B123" s="4"/>
      <c r="C123" s="9"/>
      <c r="D123" s="4"/>
      <c r="E123" s="4"/>
      <c r="F123" s="4"/>
      <c r="G123" s="4"/>
      <c r="H123" s="4"/>
      <c r="I123" s="4"/>
      <c r="J123" s="4"/>
      <c r="K123" s="4"/>
      <c r="L123" s="4"/>
      <c r="M123" s="4"/>
      <c r="N123" s="4"/>
      <c r="O123" s="4"/>
      <c r="P123" s="4"/>
      <c r="Q123" s="4"/>
      <c r="R123" s="4"/>
    </row>
    <row r="124" spans="1:18">
      <c r="A124" s="4"/>
      <c r="B124" s="4"/>
      <c r="C124" s="9"/>
      <c r="D124" s="4"/>
      <c r="E124" s="4"/>
      <c r="F124" s="4"/>
      <c r="G124" s="4"/>
      <c r="H124" s="4"/>
      <c r="I124" s="4"/>
      <c r="J124" s="4"/>
      <c r="K124" s="4"/>
      <c r="L124" s="4"/>
      <c r="M124" s="4"/>
      <c r="N124" s="4"/>
      <c r="O124" s="4"/>
      <c r="P124" s="4"/>
      <c r="Q124" s="4"/>
      <c r="R124" s="4"/>
    </row>
    <row r="125" spans="1:18">
      <c r="A125" s="4"/>
      <c r="B125" s="4"/>
      <c r="C125" s="9"/>
      <c r="D125" s="4"/>
      <c r="E125" s="4"/>
      <c r="F125" s="4"/>
      <c r="G125" s="4"/>
      <c r="H125" s="4"/>
      <c r="I125" s="4"/>
      <c r="J125" s="4"/>
      <c r="K125" s="4"/>
      <c r="L125" s="4"/>
      <c r="M125" s="4"/>
      <c r="N125" s="4"/>
      <c r="O125" s="4"/>
      <c r="P125" s="4"/>
      <c r="Q125" s="4"/>
      <c r="R125" s="4"/>
    </row>
    <row r="126" spans="1:18">
      <c r="A126" s="4"/>
      <c r="B126" s="4"/>
      <c r="C126" s="9"/>
      <c r="D126" s="4"/>
      <c r="E126" s="4"/>
      <c r="F126" s="4"/>
      <c r="G126" s="4"/>
      <c r="H126" s="4"/>
      <c r="I126" s="4"/>
      <c r="J126" s="4"/>
      <c r="K126" s="4"/>
      <c r="L126" s="4"/>
      <c r="M126" s="4"/>
      <c r="N126" s="4"/>
      <c r="O126" s="4"/>
      <c r="P126" s="4"/>
      <c r="Q126" s="4"/>
      <c r="R126" s="4"/>
    </row>
    <row r="127" spans="1:18">
      <c r="A127" s="4"/>
      <c r="B127" s="4"/>
      <c r="C127" s="9"/>
      <c r="D127" s="4"/>
      <c r="E127" s="4"/>
      <c r="F127" s="4"/>
      <c r="G127" s="4"/>
      <c r="H127" s="4"/>
      <c r="I127" s="4"/>
      <c r="J127" s="4"/>
      <c r="K127" s="4"/>
      <c r="L127" s="4"/>
      <c r="M127" s="4"/>
      <c r="N127" s="4"/>
      <c r="O127" s="4"/>
      <c r="P127" s="4"/>
      <c r="Q127" s="4"/>
      <c r="R127" s="4"/>
    </row>
    <row r="128" spans="1:18">
      <c r="A128" s="4"/>
      <c r="B128" s="4"/>
      <c r="C128" s="9"/>
      <c r="D128" s="4"/>
      <c r="E128" s="4"/>
      <c r="F128" s="4"/>
      <c r="G128" s="4"/>
      <c r="H128" s="4"/>
      <c r="I128" s="4"/>
      <c r="J128" s="4"/>
      <c r="K128" s="4"/>
      <c r="L128" s="4"/>
      <c r="M128" s="4"/>
      <c r="N128" s="4"/>
      <c r="O128" s="4"/>
      <c r="P128" s="4"/>
      <c r="Q128" s="4"/>
      <c r="R128" s="4"/>
    </row>
    <row r="129" spans="1:18">
      <c r="A129" s="4"/>
      <c r="B129" s="4"/>
      <c r="C129" s="9"/>
      <c r="D129" s="4"/>
      <c r="E129" s="4"/>
      <c r="F129" s="4"/>
      <c r="G129" s="4"/>
      <c r="H129" s="4"/>
      <c r="I129" s="4"/>
      <c r="J129" s="4"/>
      <c r="K129" s="4"/>
      <c r="L129" s="4"/>
      <c r="M129" s="4"/>
      <c r="N129" s="4"/>
      <c r="O129" s="4"/>
      <c r="P129" s="4"/>
      <c r="Q129" s="4"/>
      <c r="R129" s="4"/>
    </row>
    <row r="130" spans="1:18">
      <c r="A130" s="4"/>
      <c r="B130" s="4"/>
      <c r="C130" s="9"/>
      <c r="D130" s="4"/>
      <c r="E130" s="4"/>
      <c r="F130" s="4"/>
      <c r="G130" s="4"/>
      <c r="H130" s="4"/>
      <c r="I130" s="4"/>
      <c r="J130" s="4"/>
      <c r="K130" s="4"/>
      <c r="L130" s="4"/>
      <c r="M130" s="4"/>
      <c r="N130" s="4"/>
      <c r="O130" s="4"/>
      <c r="P130" s="4"/>
      <c r="Q130" s="4"/>
      <c r="R130" s="4"/>
    </row>
    <row r="131" spans="1:18">
      <c r="A131" s="4"/>
      <c r="B131" s="4"/>
      <c r="C131" s="9"/>
      <c r="D131" s="4"/>
      <c r="E131" s="4"/>
      <c r="F131" s="4"/>
      <c r="G131" s="4"/>
      <c r="H131" s="4"/>
      <c r="I131" s="4"/>
      <c r="J131" s="4"/>
      <c r="K131" s="4"/>
      <c r="L131" s="4"/>
      <c r="M131" s="4"/>
      <c r="N131" s="4"/>
      <c r="O131" s="4"/>
      <c r="P131" s="4"/>
      <c r="Q131" s="4"/>
      <c r="R131" s="4"/>
    </row>
    <row r="132" spans="1:18">
      <c r="A132" s="4"/>
      <c r="B132" s="4"/>
      <c r="C132" s="9"/>
      <c r="D132" s="4"/>
      <c r="E132" s="4"/>
      <c r="F132" s="4"/>
      <c r="G132" s="4"/>
      <c r="H132" s="4"/>
      <c r="I132" s="4"/>
      <c r="J132" s="4"/>
      <c r="K132" s="4"/>
      <c r="L132" s="4"/>
      <c r="M132" s="4"/>
      <c r="N132" s="4"/>
      <c r="O132" s="4"/>
      <c r="P132" s="4"/>
      <c r="Q132" s="4"/>
      <c r="R132" s="4"/>
    </row>
    <row r="133" spans="1:18">
      <c r="A133" s="4"/>
      <c r="B133" s="4"/>
      <c r="C133" s="9"/>
      <c r="D133" s="4"/>
      <c r="E133" s="4"/>
      <c r="F133" s="4"/>
      <c r="G133" s="4"/>
      <c r="H133" s="4"/>
      <c r="I133" s="4"/>
      <c r="J133" s="4"/>
      <c r="K133" s="4"/>
      <c r="L133" s="4"/>
      <c r="M133" s="4"/>
      <c r="N133" s="4"/>
      <c r="O133" s="4"/>
      <c r="P133" s="4"/>
      <c r="Q133" s="4"/>
      <c r="R133" s="4"/>
    </row>
    <row r="134" spans="1:18">
      <c r="A134" s="4"/>
      <c r="B134" s="4"/>
      <c r="C134" s="9"/>
      <c r="D134" s="4"/>
      <c r="E134" s="4"/>
      <c r="F134" s="4"/>
      <c r="G134" s="4"/>
      <c r="H134" s="4"/>
      <c r="I134" s="4"/>
      <c r="J134" s="4"/>
      <c r="K134" s="4"/>
      <c r="L134" s="4"/>
      <c r="M134" s="4"/>
      <c r="N134" s="4"/>
      <c r="O134" s="4"/>
      <c r="P134" s="4"/>
      <c r="Q134" s="4"/>
      <c r="R134" s="4"/>
    </row>
    <row r="135" spans="1:18">
      <c r="A135" s="4"/>
      <c r="B135" s="4"/>
      <c r="C135" s="9"/>
      <c r="D135" s="4"/>
      <c r="E135" s="4"/>
      <c r="F135" s="4"/>
      <c r="G135" s="4"/>
      <c r="H135" s="4"/>
      <c r="I135" s="4"/>
      <c r="J135" s="4"/>
      <c r="K135" s="4"/>
      <c r="L135" s="4"/>
      <c r="M135" s="4"/>
      <c r="N135" s="4"/>
      <c r="O135" s="4"/>
      <c r="P135" s="4"/>
      <c r="Q135" s="4"/>
      <c r="R135" s="4"/>
    </row>
    <row r="136" spans="1:18">
      <c r="A136" s="4"/>
      <c r="B136" s="4"/>
      <c r="C136" s="9"/>
      <c r="D136" s="4"/>
      <c r="E136" s="4"/>
      <c r="F136" s="4"/>
      <c r="G136" s="4"/>
      <c r="H136" s="4"/>
      <c r="I136" s="4"/>
      <c r="J136" s="4"/>
      <c r="K136" s="4"/>
      <c r="L136" s="4"/>
      <c r="M136" s="4"/>
      <c r="N136" s="4"/>
      <c r="O136" s="4"/>
      <c r="P136" s="4"/>
      <c r="Q136" s="4"/>
      <c r="R136" s="4"/>
    </row>
    <row r="137" spans="1:18">
      <c r="A137" s="4"/>
      <c r="B137" s="4"/>
      <c r="C137" s="9"/>
      <c r="D137" s="4"/>
      <c r="E137" s="4"/>
      <c r="F137" s="4"/>
      <c r="G137" s="4"/>
      <c r="H137" s="4"/>
      <c r="I137" s="4"/>
      <c r="J137" s="4"/>
      <c r="K137" s="4"/>
      <c r="L137" s="4"/>
      <c r="M137" s="4"/>
      <c r="N137" s="4"/>
      <c r="O137" s="4"/>
      <c r="P137" s="4"/>
      <c r="Q137" s="4"/>
      <c r="R137" s="4"/>
    </row>
    <row r="138" spans="1:18">
      <c r="A138" s="4"/>
      <c r="B138" s="4"/>
      <c r="C138" s="9"/>
      <c r="D138" s="4"/>
      <c r="E138" s="4"/>
      <c r="F138" s="4"/>
      <c r="G138" s="4"/>
      <c r="H138" s="4"/>
      <c r="I138" s="4"/>
      <c r="J138" s="4"/>
      <c r="K138" s="4"/>
      <c r="L138" s="4"/>
      <c r="M138" s="4"/>
      <c r="N138" s="4"/>
      <c r="O138" s="4"/>
      <c r="P138" s="4"/>
      <c r="Q138" s="4"/>
      <c r="R138" s="4"/>
    </row>
    <row r="139" spans="1:18">
      <c r="A139" s="4"/>
      <c r="B139" s="4"/>
      <c r="C139" s="9"/>
      <c r="D139" s="4"/>
      <c r="E139" s="4"/>
      <c r="F139" s="4"/>
      <c r="G139" s="4"/>
      <c r="H139" s="4"/>
      <c r="I139" s="4"/>
      <c r="J139" s="4"/>
      <c r="K139" s="4"/>
      <c r="L139" s="4"/>
      <c r="M139" s="4"/>
      <c r="N139" s="4"/>
      <c r="O139" s="4"/>
      <c r="P139" s="4"/>
      <c r="Q139" s="4"/>
      <c r="R139" s="4"/>
    </row>
    <row r="140" spans="1:18">
      <c r="A140" s="4"/>
      <c r="B140" s="4"/>
      <c r="C140" s="9"/>
      <c r="D140" s="4"/>
      <c r="E140" s="4"/>
      <c r="F140" s="4"/>
      <c r="G140" s="4"/>
      <c r="H140" s="4"/>
      <c r="I140" s="4"/>
      <c r="J140" s="4"/>
      <c r="K140" s="4"/>
      <c r="L140" s="4"/>
      <c r="M140" s="4"/>
      <c r="N140" s="4"/>
      <c r="O140" s="4"/>
      <c r="P140" s="4"/>
      <c r="Q140" s="4"/>
      <c r="R140" s="4"/>
    </row>
    <row r="141" spans="1:18">
      <c r="A141" s="4"/>
      <c r="B141" s="4"/>
      <c r="C141" s="9"/>
      <c r="D141" s="4"/>
      <c r="E141" s="4"/>
      <c r="F141" s="4"/>
      <c r="G141" s="4"/>
      <c r="H141" s="4"/>
      <c r="I141" s="4"/>
      <c r="J141" s="4"/>
      <c r="K141" s="4"/>
      <c r="L141" s="4"/>
      <c r="M141" s="4"/>
      <c r="N141" s="4"/>
      <c r="O141" s="4"/>
      <c r="P141" s="4"/>
      <c r="Q141" s="4"/>
      <c r="R141" s="4"/>
    </row>
    <row r="142" spans="1:18">
      <c r="A142" s="4"/>
      <c r="B142" s="4"/>
      <c r="C142" s="9"/>
      <c r="D142" s="4"/>
      <c r="E142" s="4"/>
      <c r="F142" s="4"/>
      <c r="G142" s="4"/>
      <c r="H142" s="4"/>
      <c r="I142" s="4"/>
      <c r="J142" s="4"/>
      <c r="K142" s="4"/>
      <c r="L142" s="4"/>
      <c r="M142" s="4"/>
      <c r="N142" s="4"/>
      <c r="O142" s="4"/>
      <c r="P142" s="4"/>
      <c r="Q142" s="4"/>
      <c r="R142" s="4"/>
    </row>
    <row r="143" spans="1:18">
      <c r="A143" s="4"/>
      <c r="B143" s="4"/>
      <c r="C143" s="9"/>
      <c r="D143" s="4"/>
      <c r="E143" s="4"/>
      <c r="F143" s="4"/>
      <c r="G143" s="4"/>
      <c r="H143" s="4"/>
      <c r="I143" s="4"/>
      <c r="J143" s="4"/>
      <c r="K143" s="4"/>
      <c r="L143" s="4"/>
      <c r="M143" s="4"/>
      <c r="N143" s="4"/>
      <c r="O143" s="4"/>
      <c r="P143" s="4"/>
      <c r="Q143" s="4"/>
      <c r="R143" s="4"/>
    </row>
    <row r="144" spans="1:18">
      <c r="A144" s="4"/>
      <c r="B144" s="4"/>
      <c r="C144" s="9"/>
      <c r="D144" s="4"/>
      <c r="E144" s="4"/>
      <c r="F144" s="4"/>
      <c r="G144" s="4"/>
      <c r="H144" s="4"/>
      <c r="I144" s="4"/>
      <c r="J144" s="4"/>
      <c r="K144" s="4"/>
      <c r="L144" s="4"/>
      <c r="M144" s="4"/>
      <c r="N144" s="4"/>
      <c r="O144" s="4"/>
      <c r="P144" s="4"/>
      <c r="Q144" s="4"/>
      <c r="R144" s="4"/>
    </row>
    <row r="145" spans="1:18">
      <c r="A145" s="4"/>
      <c r="B145" s="4"/>
      <c r="C145" s="9"/>
      <c r="D145" s="4"/>
      <c r="E145" s="4"/>
      <c r="F145" s="4"/>
      <c r="G145" s="4"/>
      <c r="H145" s="4"/>
      <c r="I145" s="4"/>
      <c r="J145" s="4"/>
      <c r="K145" s="4"/>
      <c r="L145" s="4"/>
      <c r="M145" s="4"/>
      <c r="N145" s="4"/>
      <c r="O145" s="4"/>
      <c r="P145" s="4"/>
      <c r="Q145" s="4"/>
      <c r="R145" s="4"/>
    </row>
    <row r="146" spans="1:18">
      <c r="A146" s="4"/>
      <c r="B146" s="4"/>
      <c r="C146" s="9"/>
      <c r="D146" s="4"/>
      <c r="E146" s="4"/>
      <c r="F146" s="4"/>
      <c r="G146" s="4"/>
      <c r="H146" s="4"/>
      <c r="I146" s="4"/>
      <c r="J146" s="4"/>
      <c r="K146" s="4"/>
      <c r="L146" s="4"/>
      <c r="M146" s="4"/>
      <c r="N146" s="4"/>
      <c r="O146" s="4"/>
      <c r="P146" s="4"/>
      <c r="Q146" s="4"/>
      <c r="R146" s="4"/>
    </row>
    <row r="147" spans="1:18">
      <c r="A147" s="4"/>
      <c r="B147" s="4"/>
      <c r="C147" s="9"/>
      <c r="D147" s="4"/>
      <c r="E147" s="4"/>
      <c r="F147" s="4"/>
      <c r="G147" s="4"/>
      <c r="H147" s="4"/>
      <c r="I147" s="4"/>
      <c r="J147" s="4"/>
      <c r="K147" s="4"/>
      <c r="L147" s="4"/>
      <c r="M147" s="4"/>
      <c r="N147" s="4"/>
      <c r="O147" s="4"/>
      <c r="P147" s="4"/>
      <c r="Q147" s="4"/>
      <c r="R147" s="4"/>
    </row>
    <row r="148" spans="1:18">
      <c r="A148" s="4"/>
      <c r="B148" s="4"/>
      <c r="C148" s="9"/>
      <c r="D148" s="4"/>
      <c r="E148" s="4"/>
      <c r="F148" s="4"/>
      <c r="G148" s="4"/>
      <c r="H148" s="4"/>
      <c r="I148" s="4"/>
      <c r="J148" s="4"/>
      <c r="K148" s="4"/>
      <c r="L148" s="4"/>
      <c r="M148" s="4"/>
      <c r="N148" s="4"/>
      <c r="O148" s="4"/>
      <c r="P148" s="4"/>
      <c r="Q148" s="4"/>
      <c r="R148" s="4"/>
    </row>
    <row r="149" spans="1:18">
      <c r="A149" s="4"/>
      <c r="B149" s="4"/>
      <c r="C149" s="9"/>
      <c r="D149" s="4"/>
      <c r="E149" s="4"/>
      <c r="F149" s="4"/>
      <c r="G149" s="4"/>
      <c r="H149" s="4"/>
      <c r="I149" s="4"/>
      <c r="J149" s="4"/>
      <c r="K149" s="4"/>
      <c r="L149" s="4"/>
      <c r="M149" s="4"/>
      <c r="N149" s="4"/>
      <c r="O149" s="4"/>
      <c r="P149" s="4"/>
      <c r="Q149" s="4"/>
      <c r="R149" s="4"/>
    </row>
    <row r="150" spans="1:18">
      <c r="A150" s="4"/>
      <c r="B150" s="4"/>
      <c r="C150" s="9"/>
      <c r="D150" s="4"/>
      <c r="E150" s="4"/>
      <c r="F150" s="4"/>
      <c r="G150" s="4"/>
      <c r="H150" s="4"/>
      <c r="I150" s="4"/>
      <c r="J150" s="4"/>
      <c r="K150" s="4"/>
      <c r="L150" s="4"/>
      <c r="M150" s="4"/>
      <c r="N150" s="4"/>
      <c r="O150" s="4"/>
      <c r="P150" s="4"/>
      <c r="Q150" s="4"/>
      <c r="R150" s="4"/>
    </row>
    <row r="151" spans="1:18">
      <c r="A151" s="4"/>
      <c r="B151" s="4"/>
      <c r="C151" s="9"/>
      <c r="D151" s="4"/>
      <c r="E151" s="4"/>
      <c r="F151" s="4"/>
      <c r="G151" s="4"/>
      <c r="H151" s="4"/>
      <c r="I151" s="4"/>
      <c r="J151" s="4"/>
      <c r="K151" s="4"/>
      <c r="L151" s="4"/>
      <c r="M151" s="4"/>
      <c r="N151" s="4"/>
      <c r="O151" s="4"/>
      <c r="P151" s="4"/>
      <c r="Q151" s="4"/>
      <c r="R151" s="4"/>
    </row>
    <row r="152" spans="1:18">
      <c r="A152" s="4"/>
      <c r="B152" s="4"/>
      <c r="C152" s="9"/>
      <c r="D152" s="4"/>
      <c r="E152" s="4"/>
      <c r="F152" s="4"/>
      <c r="G152" s="4"/>
      <c r="H152" s="4"/>
      <c r="I152" s="4"/>
      <c r="J152" s="4"/>
      <c r="K152" s="4"/>
      <c r="L152" s="4"/>
      <c r="M152" s="4"/>
      <c r="N152" s="4"/>
      <c r="O152" s="4"/>
      <c r="P152" s="4"/>
      <c r="Q152" s="4"/>
      <c r="R152" s="4"/>
    </row>
    <row r="153" spans="1:18">
      <c r="A153" s="4"/>
      <c r="B153" s="4"/>
      <c r="C153" s="9"/>
      <c r="D153" s="4"/>
      <c r="E153" s="4"/>
      <c r="F153" s="4"/>
      <c r="G153" s="4"/>
      <c r="H153" s="4"/>
      <c r="I153" s="4"/>
      <c r="J153" s="4"/>
      <c r="K153" s="4"/>
      <c r="L153" s="4"/>
      <c r="M153" s="4"/>
      <c r="N153" s="4"/>
      <c r="O153" s="4"/>
      <c r="P153" s="4"/>
      <c r="Q153" s="4"/>
      <c r="R153" s="4"/>
    </row>
    <row r="154" spans="1:18">
      <c r="A154" s="4"/>
      <c r="B154" s="4"/>
      <c r="C154" s="9"/>
      <c r="D154" s="4"/>
      <c r="E154" s="4"/>
      <c r="F154" s="4"/>
      <c r="G154" s="4"/>
      <c r="H154" s="4"/>
      <c r="I154" s="4"/>
      <c r="J154" s="4"/>
      <c r="K154" s="4"/>
      <c r="L154" s="4"/>
      <c r="M154" s="4"/>
      <c r="N154" s="4"/>
      <c r="O154" s="4"/>
      <c r="P154" s="4"/>
      <c r="Q154" s="4"/>
      <c r="R154" s="4"/>
    </row>
    <row r="155" spans="1:18">
      <c r="A155" s="4"/>
      <c r="B155" s="4"/>
      <c r="C155" s="9"/>
      <c r="D155" s="4"/>
      <c r="E155" s="4"/>
      <c r="F155" s="4"/>
      <c r="G155" s="4"/>
      <c r="H155" s="4"/>
      <c r="I155" s="4"/>
      <c r="J155" s="4"/>
      <c r="K155" s="4"/>
      <c r="L155" s="4"/>
      <c r="M155" s="4"/>
      <c r="N155" s="4"/>
      <c r="O155" s="4"/>
      <c r="P155" s="4"/>
      <c r="Q155" s="4"/>
      <c r="R155" s="4"/>
    </row>
    <row r="156" spans="1:18">
      <c r="A156" s="4"/>
      <c r="B156" s="4"/>
      <c r="C156" s="9"/>
      <c r="D156" s="4"/>
      <c r="E156" s="4"/>
      <c r="F156" s="4"/>
      <c r="G156" s="4"/>
      <c r="H156" s="4"/>
      <c r="I156" s="4"/>
      <c r="J156" s="4"/>
      <c r="K156" s="4"/>
      <c r="L156" s="4"/>
      <c r="M156" s="4"/>
      <c r="N156" s="4"/>
      <c r="O156" s="4"/>
      <c r="P156" s="4"/>
      <c r="Q156" s="4"/>
      <c r="R156" s="4"/>
    </row>
    <row r="157" spans="1:18">
      <c r="A157" s="4"/>
      <c r="B157" s="4"/>
      <c r="C157" s="9"/>
      <c r="D157" s="4"/>
      <c r="E157" s="4"/>
      <c r="F157" s="4"/>
      <c r="G157" s="4"/>
      <c r="H157" s="4"/>
      <c r="I157" s="4"/>
      <c r="J157" s="4"/>
      <c r="K157" s="4"/>
      <c r="L157" s="4"/>
      <c r="M157" s="4"/>
      <c r="N157" s="4"/>
      <c r="O157" s="4"/>
      <c r="P157" s="4"/>
      <c r="Q157" s="4"/>
      <c r="R157" s="4"/>
    </row>
    <row r="158" spans="1:18">
      <c r="A158" s="4"/>
      <c r="B158" s="4"/>
      <c r="C158" s="9"/>
      <c r="D158" s="4"/>
      <c r="E158" s="4"/>
      <c r="F158" s="4"/>
      <c r="G158" s="4"/>
      <c r="H158" s="4"/>
      <c r="I158" s="4"/>
      <c r="J158" s="4"/>
      <c r="K158" s="4"/>
      <c r="L158" s="4"/>
      <c r="M158" s="4"/>
      <c r="N158" s="4"/>
      <c r="O158" s="4"/>
      <c r="P158" s="4"/>
      <c r="Q158" s="4"/>
      <c r="R158" s="4"/>
    </row>
    <row r="159" spans="1:18">
      <c r="A159" s="4"/>
      <c r="B159" s="4"/>
      <c r="C159" s="9"/>
      <c r="D159" s="4"/>
      <c r="E159" s="4"/>
      <c r="F159" s="4"/>
      <c r="G159" s="4"/>
      <c r="H159" s="4"/>
      <c r="I159" s="4"/>
      <c r="J159" s="4"/>
      <c r="K159" s="4"/>
      <c r="L159" s="4"/>
      <c r="M159" s="4"/>
      <c r="N159" s="4"/>
      <c r="O159" s="4"/>
      <c r="P159" s="4"/>
      <c r="Q159" s="4"/>
      <c r="R159" s="4"/>
    </row>
    <row r="160" spans="1:18">
      <c r="A160" s="4"/>
      <c r="B160" s="4"/>
      <c r="C160" s="9"/>
      <c r="D160" s="4"/>
      <c r="E160" s="4"/>
      <c r="F160" s="4"/>
      <c r="G160" s="4"/>
      <c r="H160" s="4"/>
      <c r="I160" s="4"/>
      <c r="J160" s="4"/>
      <c r="K160" s="4"/>
      <c r="L160" s="4"/>
      <c r="M160" s="4"/>
      <c r="N160" s="4"/>
      <c r="O160" s="4"/>
      <c r="P160" s="4"/>
      <c r="Q160" s="4"/>
      <c r="R160" s="4"/>
    </row>
    <row r="161" spans="1:18">
      <c r="A161" s="4"/>
      <c r="B161" s="4"/>
      <c r="C161" s="9"/>
      <c r="D161" s="4"/>
      <c r="E161" s="4"/>
      <c r="F161" s="4"/>
      <c r="G161" s="4"/>
      <c r="H161" s="4"/>
      <c r="I161" s="4"/>
      <c r="J161" s="4"/>
      <c r="K161" s="4"/>
      <c r="L161" s="4"/>
      <c r="M161" s="4"/>
      <c r="N161" s="4"/>
      <c r="O161" s="4"/>
      <c r="P161" s="4"/>
      <c r="Q161" s="4"/>
      <c r="R161" s="4"/>
    </row>
    <row r="162" spans="1:18">
      <c r="A162" s="4"/>
      <c r="B162" s="4"/>
      <c r="C162" s="9"/>
      <c r="D162" s="4"/>
      <c r="E162" s="4"/>
      <c r="F162" s="4"/>
      <c r="G162" s="4"/>
      <c r="H162" s="4"/>
      <c r="I162" s="4"/>
      <c r="J162" s="4"/>
      <c r="K162" s="4"/>
      <c r="L162" s="4"/>
      <c r="M162" s="4"/>
      <c r="N162" s="4"/>
      <c r="O162" s="4"/>
      <c r="P162" s="4"/>
      <c r="Q162" s="4"/>
      <c r="R162" s="4"/>
    </row>
    <row r="163" spans="1:18">
      <c r="A163" s="4"/>
      <c r="B163" s="4"/>
      <c r="C163" s="9"/>
      <c r="D163" s="4"/>
      <c r="E163" s="4"/>
      <c r="F163" s="4"/>
      <c r="G163" s="4"/>
      <c r="H163" s="4"/>
      <c r="I163" s="4"/>
      <c r="J163" s="4"/>
      <c r="K163" s="4"/>
      <c r="L163" s="4"/>
      <c r="M163" s="4"/>
      <c r="N163" s="4"/>
      <c r="O163" s="4"/>
      <c r="P163" s="4"/>
      <c r="Q163" s="4"/>
      <c r="R163" s="4"/>
    </row>
    <row r="164" spans="1:18">
      <c r="A164" s="4"/>
      <c r="B164" s="4"/>
      <c r="C164" s="9"/>
      <c r="D164" s="4"/>
      <c r="E164" s="4"/>
      <c r="F164" s="4"/>
      <c r="G164" s="4"/>
      <c r="H164" s="4"/>
      <c r="I164" s="4"/>
      <c r="J164" s="4"/>
      <c r="K164" s="4"/>
      <c r="L164" s="4"/>
      <c r="M164" s="4"/>
      <c r="N164" s="4"/>
      <c r="O164" s="4"/>
      <c r="P164" s="4"/>
      <c r="Q164" s="4"/>
      <c r="R164" s="4"/>
    </row>
    <row r="165" spans="1:18">
      <c r="A165" s="4"/>
      <c r="B165" s="4"/>
      <c r="C165" s="9"/>
      <c r="D165" s="4"/>
      <c r="E165" s="4"/>
      <c r="F165" s="4"/>
      <c r="G165" s="4"/>
      <c r="H165" s="4"/>
      <c r="I165" s="4"/>
      <c r="J165" s="4"/>
      <c r="K165" s="4"/>
      <c r="L165" s="4"/>
      <c r="M165" s="4"/>
      <c r="N165" s="4"/>
      <c r="O165" s="4"/>
      <c r="P165" s="4"/>
      <c r="Q165" s="4"/>
      <c r="R165" s="4"/>
    </row>
    <row r="166" spans="1:18">
      <c r="A166" s="4"/>
      <c r="B166" s="4"/>
      <c r="C166" s="9"/>
      <c r="D166" s="4"/>
      <c r="E166" s="4"/>
      <c r="F166" s="4"/>
      <c r="G166" s="4"/>
      <c r="H166" s="4"/>
      <c r="I166" s="4"/>
      <c r="J166" s="4"/>
      <c r="K166" s="4"/>
      <c r="L166" s="4"/>
      <c r="M166" s="4"/>
      <c r="N166" s="4"/>
      <c r="O166" s="4"/>
      <c r="P166" s="4"/>
      <c r="Q166" s="4"/>
      <c r="R166" s="4"/>
    </row>
    <row r="167" spans="1:18">
      <c r="A167" s="4"/>
      <c r="B167" s="4"/>
      <c r="C167" s="9"/>
      <c r="D167" s="4"/>
      <c r="E167" s="4"/>
      <c r="F167" s="4"/>
      <c r="G167" s="4"/>
      <c r="H167" s="4"/>
      <c r="I167" s="4"/>
      <c r="J167" s="4"/>
      <c r="K167" s="4"/>
      <c r="L167" s="4"/>
      <c r="M167" s="4"/>
      <c r="N167" s="4"/>
      <c r="O167" s="4"/>
      <c r="P167" s="4"/>
      <c r="Q167" s="4"/>
      <c r="R167" s="4"/>
    </row>
    <row r="168" spans="1:18">
      <c r="A168" s="4"/>
      <c r="B168" s="4"/>
      <c r="C168" s="9"/>
      <c r="D168" s="4"/>
      <c r="E168" s="4"/>
      <c r="F168" s="4"/>
      <c r="G168" s="4"/>
      <c r="H168" s="4"/>
      <c r="I168" s="4"/>
      <c r="J168" s="4"/>
      <c r="K168" s="4"/>
      <c r="L168" s="4"/>
      <c r="M168" s="4"/>
      <c r="N168" s="4"/>
      <c r="O168" s="4"/>
      <c r="P168" s="4"/>
      <c r="Q168" s="4"/>
      <c r="R168" s="4"/>
    </row>
    <row r="169" spans="1:18">
      <c r="A169" s="4"/>
      <c r="B169" s="4"/>
      <c r="C169" s="9"/>
      <c r="D169" s="4"/>
      <c r="E169" s="4"/>
      <c r="F169" s="4"/>
      <c r="G169" s="4"/>
      <c r="H169" s="4"/>
      <c r="I169" s="4"/>
      <c r="J169" s="4"/>
      <c r="K169" s="4"/>
      <c r="L169" s="4"/>
      <c r="M169" s="4"/>
      <c r="N169" s="4"/>
      <c r="O169" s="4"/>
      <c r="P169" s="4"/>
      <c r="Q169" s="4"/>
      <c r="R169" s="4"/>
    </row>
    <row r="170" spans="1:18">
      <c r="A170" s="4"/>
      <c r="B170" s="4"/>
      <c r="C170" s="9"/>
      <c r="D170" s="4"/>
      <c r="E170" s="4"/>
      <c r="F170" s="4"/>
      <c r="G170" s="4"/>
      <c r="H170" s="4"/>
      <c r="I170" s="4"/>
      <c r="J170" s="4"/>
      <c r="K170" s="4"/>
      <c r="L170" s="4"/>
      <c r="M170" s="4"/>
      <c r="N170" s="4"/>
      <c r="O170" s="4"/>
      <c r="P170" s="4"/>
      <c r="Q170" s="4"/>
      <c r="R170" s="4"/>
    </row>
    <row r="171" spans="1:18">
      <c r="A171" s="4"/>
      <c r="B171" s="4"/>
      <c r="C171" s="9"/>
      <c r="D171" s="4"/>
      <c r="E171" s="4"/>
      <c r="F171" s="4"/>
      <c r="G171" s="4"/>
      <c r="H171" s="4"/>
      <c r="I171" s="4"/>
      <c r="J171" s="4"/>
      <c r="K171" s="4"/>
      <c r="L171" s="4"/>
      <c r="M171" s="4"/>
      <c r="N171" s="4"/>
      <c r="O171" s="4"/>
      <c r="P171" s="4"/>
      <c r="Q171" s="4"/>
      <c r="R171" s="4"/>
    </row>
    <row r="172" spans="1:18">
      <c r="A172" s="4"/>
      <c r="B172" s="4"/>
      <c r="C172" s="9"/>
      <c r="D172" s="4"/>
      <c r="E172" s="4"/>
      <c r="F172" s="4"/>
      <c r="G172" s="4"/>
      <c r="H172" s="4"/>
      <c r="I172" s="4"/>
      <c r="J172" s="4"/>
      <c r="K172" s="4"/>
      <c r="L172" s="4"/>
      <c r="M172" s="4"/>
      <c r="N172" s="4"/>
      <c r="O172" s="4"/>
      <c r="P172" s="4"/>
      <c r="Q172" s="4"/>
      <c r="R172" s="4"/>
    </row>
    <row r="173" spans="1:18">
      <c r="A173" s="4"/>
      <c r="B173" s="4"/>
      <c r="C173" s="9"/>
      <c r="D173" s="4"/>
      <c r="E173" s="4"/>
      <c r="F173" s="4"/>
      <c r="G173" s="4"/>
      <c r="H173" s="4"/>
      <c r="I173" s="4"/>
      <c r="J173" s="4"/>
      <c r="K173" s="4"/>
      <c r="L173" s="4"/>
      <c r="M173" s="4"/>
      <c r="N173" s="4"/>
      <c r="O173" s="4"/>
      <c r="P173" s="4"/>
      <c r="Q173" s="4"/>
      <c r="R173" s="4"/>
    </row>
    <row r="174" spans="1:18">
      <c r="A174" s="4"/>
      <c r="B174" s="4"/>
      <c r="C174" s="9"/>
      <c r="D174" s="4"/>
      <c r="E174" s="4"/>
      <c r="F174" s="4"/>
      <c r="G174" s="4"/>
      <c r="H174" s="4"/>
      <c r="I174" s="4"/>
      <c r="J174" s="4"/>
      <c r="K174" s="4"/>
      <c r="L174" s="4"/>
      <c r="M174" s="4"/>
      <c r="N174" s="4"/>
      <c r="O174" s="4"/>
      <c r="P174" s="4"/>
      <c r="Q174" s="4"/>
      <c r="R174" s="4"/>
    </row>
    <row r="175" spans="1:18">
      <c r="A175" s="4"/>
      <c r="B175" s="4"/>
      <c r="C175" s="9"/>
      <c r="D175" s="4"/>
      <c r="E175" s="4"/>
      <c r="F175" s="4"/>
      <c r="G175" s="4"/>
      <c r="H175" s="4"/>
      <c r="I175" s="4"/>
      <c r="J175" s="4"/>
      <c r="K175" s="4"/>
      <c r="L175" s="4"/>
      <c r="M175" s="4"/>
      <c r="N175" s="4"/>
      <c r="O175" s="4"/>
      <c r="P175" s="4"/>
      <c r="Q175" s="4"/>
      <c r="R175" s="4"/>
    </row>
    <row r="176" spans="1:18">
      <c r="A176" s="4"/>
      <c r="B176" s="4"/>
      <c r="C176" s="9"/>
      <c r="D176" s="4"/>
      <c r="E176" s="4"/>
      <c r="F176" s="4"/>
      <c r="G176" s="4"/>
      <c r="H176" s="4"/>
      <c r="I176" s="4"/>
      <c r="J176" s="4"/>
      <c r="K176" s="4"/>
      <c r="L176" s="4"/>
      <c r="M176" s="4"/>
      <c r="N176" s="4"/>
      <c r="O176" s="4"/>
      <c r="P176" s="4"/>
      <c r="Q176" s="4"/>
      <c r="R176" s="4"/>
    </row>
    <row r="177" spans="1:18">
      <c r="A177" s="4"/>
      <c r="B177" s="4"/>
      <c r="C177" s="9"/>
      <c r="D177" s="4"/>
      <c r="E177" s="4"/>
      <c r="F177" s="4"/>
      <c r="G177" s="4"/>
      <c r="H177" s="4"/>
      <c r="I177" s="4"/>
      <c r="J177" s="4"/>
      <c r="K177" s="4"/>
      <c r="L177" s="4"/>
      <c r="M177" s="4"/>
      <c r="N177" s="4"/>
      <c r="O177" s="4"/>
      <c r="P177" s="4"/>
      <c r="Q177" s="4"/>
      <c r="R177" s="4"/>
    </row>
    <row r="178" spans="1:18">
      <c r="A178" s="4"/>
      <c r="B178" s="4"/>
      <c r="C178" s="9"/>
      <c r="D178" s="4"/>
      <c r="E178" s="4"/>
      <c r="F178" s="4"/>
      <c r="G178" s="4"/>
      <c r="H178" s="4"/>
      <c r="I178" s="4"/>
      <c r="J178" s="4"/>
      <c r="K178" s="4"/>
      <c r="L178" s="4"/>
      <c r="M178" s="4"/>
      <c r="N178" s="4"/>
      <c r="O178" s="4"/>
      <c r="P178" s="4"/>
      <c r="Q178" s="4"/>
      <c r="R178" s="4"/>
    </row>
    <row r="179" spans="1:18">
      <c r="A179" s="4"/>
      <c r="B179" s="4"/>
      <c r="C179" s="9"/>
      <c r="D179" s="4"/>
      <c r="E179" s="4"/>
      <c r="F179" s="4"/>
      <c r="G179" s="4"/>
      <c r="H179" s="4"/>
      <c r="I179" s="4"/>
      <c r="J179" s="4"/>
      <c r="K179" s="4"/>
      <c r="L179" s="4"/>
      <c r="M179" s="4"/>
      <c r="N179" s="4"/>
      <c r="O179" s="4"/>
      <c r="P179" s="4"/>
      <c r="Q179" s="4"/>
      <c r="R179" s="4"/>
    </row>
    <row r="180" spans="1:18">
      <c r="A180" s="4"/>
      <c r="B180" s="4"/>
      <c r="C180" s="9"/>
      <c r="D180" s="4"/>
      <c r="E180" s="4"/>
      <c r="F180" s="4"/>
      <c r="G180" s="4"/>
      <c r="H180" s="4"/>
      <c r="I180" s="4"/>
      <c r="J180" s="4"/>
      <c r="K180" s="4"/>
      <c r="L180" s="4"/>
      <c r="M180" s="4"/>
      <c r="N180" s="4"/>
      <c r="O180" s="4"/>
      <c r="P180" s="4"/>
      <c r="Q180" s="4"/>
      <c r="R180" s="4"/>
    </row>
    <row r="181" spans="1:18">
      <c r="A181" s="4"/>
      <c r="B181" s="4"/>
      <c r="C181" s="9"/>
      <c r="D181" s="4"/>
      <c r="E181" s="4"/>
      <c r="F181" s="4"/>
      <c r="G181" s="4"/>
      <c r="H181" s="4"/>
      <c r="I181" s="4"/>
      <c r="J181" s="4"/>
      <c r="K181" s="4"/>
      <c r="L181" s="4"/>
      <c r="M181" s="4"/>
      <c r="N181" s="4"/>
      <c r="O181" s="4"/>
      <c r="P181" s="4"/>
      <c r="Q181" s="4"/>
      <c r="R181" s="4"/>
    </row>
    <row r="182" spans="1:18">
      <c r="A182" s="4"/>
      <c r="B182" s="4"/>
      <c r="C182" s="9"/>
      <c r="D182" s="4"/>
      <c r="E182" s="4"/>
      <c r="F182" s="4"/>
      <c r="G182" s="4"/>
      <c r="H182" s="4"/>
      <c r="I182" s="4"/>
      <c r="J182" s="4"/>
      <c r="K182" s="4"/>
      <c r="L182" s="4"/>
      <c r="M182" s="4"/>
      <c r="N182" s="4"/>
      <c r="O182" s="4"/>
      <c r="P182" s="4"/>
      <c r="Q182" s="4"/>
      <c r="R182" s="4"/>
    </row>
    <row r="183" spans="1:18">
      <c r="A183" s="4"/>
      <c r="B183" s="4"/>
      <c r="C183" s="9"/>
      <c r="D183" s="4"/>
      <c r="E183" s="4"/>
      <c r="F183" s="4"/>
      <c r="G183" s="4"/>
      <c r="H183" s="4"/>
      <c r="I183" s="4"/>
      <c r="J183" s="4"/>
      <c r="K183" s="4"/>
      <c r="L183" s="4"/>
      <c r="M183" s="4"/>
      <c r="N183" s="4"/>
      <c r="O183" s="4"/>
      <c r="P183" s="4"/>
      <c r="Q183" s="4"/>
      <c r="R183" s="4"/>
    </row>
    <row r="184" spans="1:18">
      <c r="A184" s="4"/>
      <c r="B184" s="4"/>
      <c r="C184" s="9"/>
      <c r="D184" s="4"/>
      <c r="E184" s="4"/>
      <c r="F184" s="4"/>
      <c r="G184" s="4"/>
      <c r="H184" s="4"/>
      <c r="I184" s="4"/>
      <c r="J184" s="4"/>
      <c r="K184" s="4"/>
      <c r="L184" s="4"/>
      <c r="M184" s="4"/>
      <c r="N184" s="4"/>
      <c r="O184" s="4"/>
      <c r="P184" s="4"/>
      <c r="Q184" s="4"/>
      <c r="R184" s="4"/>
    </row>
    <row r="185" spans="1:18">
      <c r="A185" s="4"/>
      <c r="B185" s="4"/>
      <c r="C185" s="9"/>
      <c r="D185" s="4"/>
      <c r="E185" s="4"/>
      <c r="F185" s="4"/>
      <c r="G185" s="4"/>
      <c r="H185" s="4"/>
      <c r="I185" s="4"/>
      <c r="J185" s="4"/>
      <c r="K185" s="4"/>
      <c r="L185" s="4"/>
      <c r="M185" s="4"/>
      <c r="N185" s="4"/>
      <c r="O185" s="4"/>
      <c r="P185" s="4"/>
      <c r="Q185" s="4"/>
      <c r="R185" s="4"/>
    </row>
    <row r="186" spans="1:18">
      <c r="A186" s="4"/>
      <c r="B186" s="4"/>
      <c r="C186" s="9"/>
      <c r="D186" s="4"/>
      <c r="E186" s="4"/>
      <c r="F186" s="4"/>
      <c r="G186" s="4"/>
      <c r="H186" s="4"/>
      <c r="I186" s="4"/>
      <c r="J186" s="4"/>
      <c r="K186" s="4"/>
      <c r="L186" s="4"/>
      <c r="M186" s="4"/>
      <c r="N186" s="4"/>
      <c r="O186" s="4"/>
      <c r="P186" s="4"/>
      <c r="Q186" s="4"/>
      <c r="R186" s="4"/>
    </row>
    <row r="187" spans="1:18">
      <c r="A187" s="4"/>
      <c r="B187" s="4"/>
      <c r="C187" s="9"/>
      <c r="D187" s="4"/>
      <c r="E187" s="4"/>
      <c r="F187" s="4"/>
      <c r="G187" s="4"/>
      <c r="H187" s="4"/>
      <c r="I187" s="4"/>
      <c r="J187" s="4"/>
      <c r="K187" s="4"/>
      <c r="L187" s="4"/>
      <c r="M187" s="4"/>
      <c r="N187" s="4"/>
      <c r="O187" s="4"/>
      <c r="P187" s="4"/>
      <c r="Q187" s="4"/>
      <c r="R187" s="4"/>
    </row>
    <row r="188" spans="1:18">
      <c r="A188" s="4"/>
      <c r="B188" s="4"/>
      <c r="C188" s="9"/>
      <c r="D188" s="4"/>
      <c r="E188" s="4"/>
      <c r="F188" s="4"/>
      <c r="G188" s="4"/>
      <c r="H188" s="4"/>
      <c r="I188" s="4"/>
      <c r="J188" s="4"/>
      <c r="K188" s="4"/>
      <c r="L188" s="4"/>
      <c r="M188" s="4"/>
      <c r="N188" s="4"/>
      <c r="O188" s="4"/>
      <c r="P188" s="4"/>
      <c r="Q188" s="4"/>
      <c r="R188" s="4"/>
    </row>
    <row r="189" spans="1:18">
      <c r="A189" s="4"/>
      <c r="B189" s="4"/>
      <c r="C189" s="9"/>
      <c r="D189" s="4"/>
      <c r="E189" s="4"/>
      <c r="F189" s="4"/>
      <c r="G189" s="4"/>
      <c r="H189" s="4"/>
      <c r="I189" s="4"/>
      <c r="J189" s="4"/>
      <c r="K189" s="4"/>
      <c r="L189" s="4"/>
      <c r="M189" s="4"/>
      <c r="N189" s="4"/>
      <c r="O189" s="4"/>
      <c r="P189" s="4"/>
      <c r="Q189" s="4"/>
      <c r="R189" s="4"/>
    </row>
    <row r="190" spans="1:18">
      <c r="A190" s="4"/>
      <c r="B190" s="4"/>
      <c r="C190" s="9"/>
      <c r="D190" s="4"/>
      <c r="E190" s="4"/>
      <c r="F190" s="4"/>
      <c r="G190" s="4"/>
      <c r="H190" s="4"/>
      <c r="I190" s="4"/>
      <c r="J190" s="4"/>
      <c r="K190" s="4"/>
      <c r="L190" s="4"/>
      <c r="M190" s="4"/>
      <c r="N190" s="4"/>
      <c r="O190" s="4"/>
      <c r="P190" s="4"/>
      <c r="Q190" s="4"/>
      <c r="R190" s="4"/>
    </row>
    <row r="191" spans="1:18">
      <c r="A191" s="4"/>
      <c r="B191" s="4"/>
      <c r="C191" s="9"/>
      <c r="D191" s="4"/>
      <c r="E191" s="4"/>
      <c r="F191" s="4"/>
      <c r="G191" s="4"/>
      <c r="H191" s="4"/>
      <c r="I191" s="4"/>
      <c r="J191" s="4"/>
      <c r="K191" s="4"/>
      <c r="L191" s="4"/>
      <c r="M191" s="4"/>
      <c r="N191" s="4"/>
      <c r="O191" s="4"/>
      <c r="P191" s="4"/>
      <c r="Q191" s="4"/>
      <c r="R191" s="4"/>
    </row>
    <row r="192" spans="1:18">
      <c r="A192" s="4"/>
      <c r="B192" s="4"/>
      <c r="C192" s="9"/>
      <c r="D192" s="4"/>
      <c r="E192" s="4"/>
      <c r="F192" s="4"/>
      <c r="G192" s="4"/>
      <c r="H192" s="4"/>
      <c r="I192" s="4"/>
      <c r="J192" s="4"/>
      <c r="K192" s="4"/>
      <c r="L192" s="4"/>
      <c r="M192" s="4"/>
      <c r="N192" s="4"/>
      <c r="O192" s="4"/>
      <c r="P192" s="4"/>
      <c r="Q192" s="4"/>
      <c r="R192" s="4"/>
    </row>
    <row r="193" spans="1:18">
      <c r="A193" s="4"/>
      <c r="B193" s="4"/>
      <c r="C193" s="9"/>
      <c r="D193" s="4"/>
      <c r="E193" s="4"/>
      <c r="F193" s="4"/>
      <c r="G193" s="4"/>
      <c r="H193" s="4"/>
      <c r="I193" s="4"/>
      <c r="J193" s="4"/>
      <c r="K193" s="4"/>
      <c r="L193" s="4"/>
      <c r="M193" s="4"/>
      <c r="N193" s="4"/>
      <c r="O193" s="4"/>
      <c r="P193" s="4"/>
      <c r="Q193" s="4"/>
      <c r="R193" s="4"/>
    </row>
    <row r="194" spans="1:18">
      <c r="A194" s="4"/>
      <c r="B194" s="4"/>
      <c r="C194" s="9"/>
      <c r="D194" s="4"/>
      <c r="E194" s="4"/>
      <c r="F194" s="4"/>
      <c r="G194" s="4"/>
      <c r="H194" s="4"/>
      <c r="I194" s="4"/>
      <c r="J194" s="4"/>
      <c r="K194" s="4"/>
      <c r="L194" s="4"/>
      <c r="M194" s="4"/>
      <c r="N194" s="4"/>
      <c r="O194" s="4"/>
      <c r="P194" s="4"/>
      <c r="Q194" s="4"/>
      <c r="R194" s="4"/>
    </row>
    <row r="195" spans="1:18">
      <c r="A195" s="4"/>
      <c r="B195" s="4"/>
      <c r="C195" s="9"/>
      <c r="D195" s="4"/>
      <c r="E195" s="4"/>
      <c r="F195" s="4"/>
      <c r="G195" s="4"/>
      <c r="H195" s="4"/>
      <c r="I195" s="4"/>
      <c r="J195" s="4"/>
      <c r="K195" s="4"/>
      <c r="L195" s="4"/>
      <c r="M195" s="4"/>
      <c r="N195" s="4"/>
      <c r="O195" s="4"/>
      <c r="P195" s="4"/>
      <c r="Q195" s="4"/>
      <c r="R195" s="4"/>
    </row>
    <row r="196" spans="1:18">
      <c r="A196" s="4"/>
      <c r="B196" s="4"/>
      <c r="C196" s="9"/>
      <c r="D196" s="4"/>
      <c r="E196" s="4"/>
      <c r="F196" s="4"/>
      <c r="G196" s="4"/>
      <c r="H196" s="4"/>
      <c r="I196" s="4"/>
      <c r="J196" s="4"/>
      <c r="K196" s="4"/>
      <c r="L196" s="4"/>
      <c r="M196" s="4"/>
      <c r="N196" s="4"/>
      <c r="O196" s="4"/>
      <c r="P196" s="4"/>
      <c r="Q196" s="4"/>
      <c r="R196" s="4"/>
    </row>
    <row r="197" spans="1:18">
      <c r="A197" s="4"/>
      <c r="B197" s="4"/>
      <c r="C197" s="9"/>
      <c r="D197" s="4"/>
      <c r="E197" s="4"/>
      <c r="F197" s="4"/>
      <c r="G197" s="4"/>
      <c r="H197" s="4"/>
      <c r="I197" s="4"/>
      <c r="J197" s="4"/>
      <c r="K197" s="4"/>
      <c r="L197" s="4"/>
      <c r="M197" s="4"/>
      <c r="N197" s="4"/>
      <c r="O197" s="4"/>
      <c r="P197" s="4"/>
      <c r="Q197" s="4"/>
      <c r="R197" s="4"/>
    </row>
    <row r="198" spans="1:18">
      <c r="A198" s="4"/>
      <c r="B198" s="4"/>
      <c r="C198" s="9"/>
      <c r="D198" s="4"/>
      <c r="E198" s="4"/>
      <c r="F198" s="4"/>
      <c r="G198" s="4"/>
      <c r="H198" s="4"/>
      <c r="I198" s="4"/>
      <c r="J198" s="4"/>
      <c r="K198" s="4"/>
      <c r="L198" s="4"/>
      <c r="M198" s="4"/>
      <c r="N198" s="4"/>
      <c r="O198" s="4"/>
      <c r="P198" s="4"/>
      <c r="Q198" s="4"/>
      <c r="R198" s="4"/>
    </row>
    <row r="199" spans="1:18">
      <c r="A199" s="4"/>
      <c r="B199" s="4"/>
      <c r="C199" s="9"/>
      <c r="D199" s="4"/>
      <c r="E199" s="4"/>
      <c r="F199" s="4"/>
      <c r="G199" s="4"/>
      <c r="H199" s="4"/>
      <c r="I199" s="4"/>
      <c r="J199" s="4"/>
      <c r="K199" s="4"/>
      <c r="L199" s="4"/>
      <c r="M199" s="4"/>
      <c r="N199" s="4"/>
      <c r="O199" s="4"/>
      <c r="P199" s="4"/>
      <c r="Q199" s="4"/>
      <c r="R199" s="4"/>
    </row>
    <row r="200" spans="1:18">
      <c r="A200" s="4"/>
      <c r="B200" s="4"/>
      <c r="C200" s="9"/>
      <c r="D200" s="4"/>
      <c r="E200" s="4"/>
      <c r="F200" s="4"/>
      <c r="G200" s="4"/>
      <c r="H200" s="4"/>
      <c r="I200" s="4"/>
      <c r="J200" s="4"/>
      <c r="K200" s="4"/>
      <c r="L200" s="4"/>
      <c r="M200" s="4"/>
      <c r="N200" s="4"/>
      <c r="O200" s="4"/>
      <c r="P200" s="4"/>
      <c r="Q200" s="4"/>
      <c r="R200" s="4"/>
    </row>
    <row r="201" spans="1:18">
      <c r="A201" s="4"/>
      <c r="B201" s="4"/>
      <c r="C201" s="9"/>
      <c r="D201" s="4"/>
      <c r="E201" s="4"/>
      <c r="F201" s="4"/>
      <c r="G201" s="4"/>
      <c r="H201" s="4"/>
      <c r="I201" s="4"/>
      <c r="J201" s="4"/>
      <c r="K201" s="4"/>
      <c r="L201" s="4"/>
      <c r="M201" s="4"/>
      <c r="N201" s="4"/>
      <c r="O201" s="4"/>
      <c r="P201" s="4"/>
      <c r="Q201" s="4"/>
      <c r="R201" s="4"/>
    </row>
    <row r="202" spans="1:18">
      <c r="A202" s="4"/>
      <c r="B202" s="4"/>
      <c r="C202" s="9"/>
      <c r="D202" s="4"/>
      <c r="E202" s="4"/>
      <c r="F202" s="4"/>
      <c r="G202" s="4"/>
      <c r="H202" s="4"/>
      <c r="I202" s="4"/>
      <c r="J202" s="4"/>
      <c r="K202" s="4"/>
      <c r="L202" s="4"/>
      <c r="M202" s="4"/>
      <c r="N202" s="4"/>
      <c r="O202" s="4"/>
      <c r="P202" s="4"/>
      <c r="Q202" s="4"/>
      <c r="R202" s="4"/>
    </row>
    <row r="203" spans="1:18">
      <c r="A203" s="4"/>
      <c r="B203" s="4"/>
      <c r="C203" s="9"/>
      <c r="D203" s="4"/>
      <c r="E203" s="4"/>
      <c r="F203" s="4"/>
      <c r="G203" s="4"/>
      <c r="H203" s="4"/>
      <c r="I203" s="4"/>
      <c r="J203" s="4"/>
      <c r="K203" s="4"/>
      <c r="L203" s="4"/>
      <c r="M203" s="4"/>
      <c r="N203" s="4"/>
      <c r="O203" s="4"/>
      <c r="P203" s="4"/>
      <c r="Q203" s="4"/>
      <c r="R203" s="4"/>
    </row>
    <row r="204" spans="1:18">
      <c r="A204" s="4"/>
      <c r="B204" s="4"/>
      <c r="C204" s="9"/>
      <c r="D204" s="4"/>
      <c r="E204" s="4"/>
      <c r="F204" s="4"/>
      <c r="G204" s="4"/>
      <c r="H204" s="4"/>
      <c r="I204" s="4"/>
      <c r="J204" s="4"/>
      <c r="K204" s="4"/>
      <c r="L204" s="4"/>
      <c r="M204" s="4"/>
      <c r="N204" s="4"/>
      <c r="O204" s="4"/>
      <c r="P204" s="4"/>
      <c r="Q204" s="4"/>
      <c r="R204" s="4"/>
    </row>
    <row r="205" spans="1:18">
      <c r="A205" s="4"/>
      <c r="B205" s="4"/>
      <c r="C205" s="9"/>
      <c r="D205" s="4"/>
      <c r="E205" s="4"/>
      <c r="F205" s="4"/>
      <c r="G205" s="4"/>
      <c r="H205" s="4"/>
      <c r="I205" s="4"/>
      <c r="J205" s="4"/>
      <c r="K205" s="4"/>
      <c r="L205" s="4"/>
      <c r="M205" s="4"/>
      <c r="N205" s="4"/>
      <c r="O205" s="4"/>
      <c r="P205" s="4"/>
      <c r="Q205" s="4"/>
      <c r="R205" s="4"/>
    </row>
    <row r="206" spans="1:18">
      <c r="A206" s="4"/>
      <c r="B206" s="4"/>
      <c r="C206" s="9"/>
      <c r="D206" s="4"/>
      <c r="E206" s="4"/>
      <c r="F206" s="4"/>
      <c r="G206" s="4"/>
      <c r="H206" s="4"/>
      <c r="I206" s="4"/>
      <c r="J206" s="4"/>
      <c r="K206" s="4"/>
      <c r="L206" s="4"/>
      <c r="M206" s="4"/>
      <c r="N206" s="4"/>
      <c r="O206" s="4"/>
      <c r="P206" s="4"/>
      <c r="Q206" s="4"/>
      <c r="R206" s="4"/>
    </row>
    <row r="207" spans="1:18">
      <c r="A207" s="4"/>
      <c r="B207" s="4"/>
      <c r="C207" s="9"/>
      <c r="D207" s="4"/>
      <c r="E207" s="4"/>
      <c r="F207" s="4"/>
      <c r="G207" s="4"/>
      <c r="H207" s="4"/>
      <c r="I207" s="4"/>
      <c r="J207" s="4"/>
      <c r="K207" s="4"/>
      <c r="L207" s="4"/>
      <c r="M207" s="4"/>
      <c r="N207" s="4"/>
      <c r="O207" s="4"/>
      <c r="P207" s="4"/>
      <c r="Q207" s="4"/>
      <c r="R207" s="4"/>
    </row>
    <row r="208" spans="1:18">
      <c r="A208" s="4"/>
      <c r="B208" s="4"/>
      <c r="C208" s="9"/>
      <c r="D208" s="4"/>
      <c r="E208" s="4"/>
      <c r="F208" s="4"/>
      <c r="G208" s="4"/>
      <c r="H208" s="4"/>
      <c r="I208" s="4"/>
      <c r="J208" s="4"/>
      <c r="K208" s="4"/>
      <c r="L208" s="4"/>
      <c r="M208" s="4"/>
      <c r="N208" s="4"/>
      <c r="O208" s="4"/>
      <c r="P208" s="4"/>
      <c r="Q208" s="4"/>
      <c r="R208" s="4"/>
    </row>
    <row r="209" spans="1:18">
      <c r="A209" s="4"/>
      <c r="B209" s="4"/>
      <c r="C209" s="9"/>
      <c r="D209" s="4"/>
      <c r="E209" s="4"/>
      <c r="F209" s="4"/>
      <c r="G209" s="4"/>
      <c r="H209" s="4"/>
      <c r="I209" s="4"/>
      <c r="J209" s="4"/>
      <c r="K209" s="4"/>
      <c r="L209" s="4"/>
      <c r="M209" s="4"/>
      <c r="N209" s="4"/>
      <c r="O209" s="4"/>
      <c r="P209" s="4"/>
      <c r="Q209" s="4"/>
      <c r="R209" s="4"/>
    </row>
    <row r="210" spans="1:18">
      <c r="A210" s="4"/>
      <c r="B210" s="4"/>
      <c r="C210" s="9"/>
      <c r="D210" s="4"/>
      <c r="E210" s="4"/>
      <c r="F210" s="4"/>
      <c r="G210" s="4"/>
      <c r="H210" s="4"/>
      <c r="I210" s="4"/>
      <c r="J210" s="4"/>
      <c r="K210" s="4"/>
      <c r="L210" s="4"/>
      <c r="M210" s="4"/>
      <c r="N210" s="4"/>
      <c r="O210" s="4"/>
      <c r="P210" s="4"/>
      <c r="Q210" s="4"/>
      <c r="R210" s="4"/>
    </row>
    <row r="211" spans="1:18">
      <c r="A211" s="4"/>
      <c r="B211" s="4"/>
      <c r="C211" s="9"/>
      <c r="D211" s="4"/>
      <c r="E211" s="4"/>
      <c r="F211" s="4"/>
      <c r="G211" s="4"/>
      <c r="H211" s="4"/>
      <c r="I211" s="4"/>
      <c r="J211" s="4"/>
      <c r="K211" s="4"/>
      <c r="L211" s="4"/>
      <c r="M211" s="4"/>
      <c r="N211" s="4"/>
      <c r="O211" s="4"/>
      <c r="P211" s="4"/>
      <c r="Q211" s="4"/>
      <c r="R211" s="4"/>
    </row>
    <row r="212" spans="1:18">
      <c r="A212" s="4"/>
      <c r="B212" s="4"/>
      <c r="C212" s="9"/>
      <c r="D212" s="4"/>
      <c r="E212" s="4"/>
      <c r="F212" s="4"/>
      <c r="G212" s="4"/>
      <c r="H212" s="4"/>
      <c r="I212" s="4"/>
      <c r="J212" s="4"/>
      <c r="K212" s="4"/>
      <c r="L212" s="4"/>
      <c r="M212" s="4"/>
      <c r="N212" s="4"/>
      <c r="O212" s="4"/>
      <c r="P212" s="4"/>
      <c r="Q212" s="4"/>
      <c r="R212" s="4"/>
    </row>
    <row r="213" spans="1:18">
      <c r="A213" s="4"/>
      <c r="B213" s="4"/>
      <c r="C213" s="9"/>
      <c r="D213" s="4"/>
      <c r="E213" s="4"/>
      <c r="F213" s="4"/>
      <c r="G213" s="4"/>
      <c r="H213" s="4"/>
      <c r="I213" s="4"/>
      <c r="J213" s="4"/>
      <c r="K213" s="4"/>
      <c r="L213" s="4"/>
      <c r="M213" s="4"/>
      <c r="N213" s="4"/>
      <c r="O213" s="4"/>
      <c r="P213" s="4"/>
      <c r="Q213" s="4"/>
      <c r="R213" s="4"/>
    </row>
    <row r="214" spans="1:18">
      <c r="A214" s="4"/>
      <c r="B214" s="4"/>
      <c r="C214" s="9"/>
      <c r="D214" s="4"/>
      <c r="E214" s="4"/>
      <c r="F214" s="4"/>
      <c r="G214" s="4"/>
      <c r="H214" s="4"/>
      <c r="I214" s="4"/>
      <c r="J214" s="4"/>
      <c r="K214" s="4"/>
      <c r="L214" s="4"/>
      <c r="M214" s="4"/>
      <c r="N214" s="4"/>
      <c r="O214" s="4"/>
      <c r="P214" s="4"/>
      <c r="Q214" s="4"/>
      <c r="R214" s="4"/>
    </row>
    <row r="215" spans="1:18">
      <c r="A215" s="4"/>
      <c r="B215" s="4"/>
      <c r="C215" s="9"/>
      <c r="D215" s="4"/>
      <c r="E215" s="4"/>
      <c r="F215" s="4"/>
      <c r="G215" s="4"/>
      <c r="H215" s="4"/>
      <c r="I215" s="4"/>
      <c r="J215" s="4"/>
      <c r="K215" s="4"/>
      <c r="L215" s="4"/>
      <c r="M215" s="4"/>
      <c r="N215" s="4"/>
      <c r="O215" s="4"/>
      <c r="P215" s="4"/>
      <c r="Q215" s="4"/>
      <c r="R215" s="4"/>
    </row>
    <row r="216" spans="1:18">
      <c r="A216" s="4"/>
      <c r="B216" s="4"/>
      <c r="C216" s="9"/>
      <c r="D216" s="4"/>
      <c r="E216" s="4"/>
      <c r="F216" s="4"/>
      <c r="G216" s="4"/>
      <c r="H216" s="4"/>
      <c r="I216" s="4"/>
      <c r="J216" s="4"/>
      <c r="K216" s="4"/>
      <c r="L216" s="4"/>
      <c r="M216" s="4"/>
      <c r="N216" s="4"/>
      <c r="O216" s="4"/>
      <c r="P216" s="4"/>
      <c r="Q216" s="4"/>
      <c r="R216" s="4"/>
    </row>
  </sheetData>
  <phoneticPr fontId="3" type="noConversion"/>
  <printOptions horizontalCentered="1" verticalCentered="1"/>
  <pageMargins left="0.25" right="0.25" top="0.25" bottom="0.25" header="0" footer="0"/>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V8193"/>
  <sheetViews>
    <sheetView defaultGridColor="0" colorId="22" zoomScale="50" workbookViewId="0"/>
  </sheetViews>
  <sheetFormatPr defaultColWidth="12.5546875" defaultRowHeight="15.6"/>
  <cols>
    <col min="1" max="1" width="22.88671875" style="43" customWidth="1"/>
    <col min="2" max="2" width="13.44140625" style="44" customWidth="1"/>
    <col min="3" max="3" width="13.109375" style="44" customWidth="1"/>
    <col min="4" max="4" width="12.5546875" style="44"/>
    <col min="5" max="5" width="13.6640625" style="44" bestFit="1" customWidth="1"/>
    <col min="6" max="6" width="12.5546875" style="44"/>
    <col min="7" max="7" width="13.5546875" style="44" bestFit="1" customWidth="1"/>
    <col min="8" max="8" width="13.33203125" style="44" bestFit="1" customWidth="1"/>
    <col min="9" max="9" width="14.109375" style="44" bestFit="1" customWidth="1"/>
    <col min="10" max="11" width="12.5546875" style="44"/>
    <col min="12" max="12" width="14.109375" style="44" bestFit="1" customWidth="1"/>
    <col min="13" max="13" width="15.109375" style="43" customWidth="1"/>
    <col min="14" max="14" width="17.6640625" style="43" customWidth="1"/>
    <col min="15" max="15" width="17.88671875" style="43" customWidth="1"/>
    <col min="16" max="16" width="14.44140625" style="43" customWidth="1"/>
    <col min="17" max="19" width="15" style="43" customWidth="1"/>
    <col min="20" max="20" width="12.5546875" style="43"/>
    <col min="21" max="22" width="13.88671875" style="47" customWidth="1"/>
    <col min="23" max="23" width="12.5546875" style="43"/>
    <col min="24" max="24" width="13.33203125" style="43" customWidth="1"/>
    <col min="25" max="16384" width="12.5546875" style="43"/>
  </cols>
  <sheetData>
    <row r="1" spans="1:41" ht="21">
      <c r="A1" s="127" t="s">
        <v>191</v>
      </c>
      <c r="L1" s="45"/>
      <c r="M1" s="46"/>
    </row>
    <row r="2" spans="1:41">
      <c r="L2" s="45"/>
      <c r="M2" s="46"/>
      <c r="AN2" s="47"/>
      <c r="AO2" s="47"/>
    </row>
    <row r="3" spans="1:41" ht="18">
      <c r="L3" s="48"/>
      <c r="M3" s="49"/>
      <c r="R3" s="50"/>
      <c r="S3" s="51"/>
      <c r="AN3" s="47"/>
      <c r="AO3" s="47"/>
    </row>
    <row r="4" spans="1:41">
      <c r="E4" s="52"/>
      <c r="G4" s="53"/>
      <c r="I4" s="54"/>
      <c r="L4" s="45"/>
      <c r="M4" s="46"/>
      <c r="AM4" s="47"/>
      <c r="AN4" s="47"/>
      <c r="AO4" s="47"/>
    </row>
    <row r="5" spans="1:41" ht="18">
      <c r="A5" s="43" t="s">
        <v>125</v>
      </c>
      <c r="C5" s="64">
        <f>0.02</f>
        <v>0.02</v>
      </c>
      <c r="D5" s="56"/>
      <c r="E5" s="57"/>
      <c r="F5" s="56"/>
      <c r="G5" s="58"/>
      <c r="H5" s="56"/>
      <c r="I5" s="59"/>
      <c r="J5" s="56"/>
      <c r="K5" s="56"/>
      <c r="L5" s="45"/>
      <c r="M5" s="46"/>
      <c r="N5" s="60"/>
      <c r="O5" s="61"/>
      <c r="P5" s="55"/>
      <c r="Q5" s="62"/>
      <c r="R5" s="63"/>
      <c r="S5" s="51"/>
      <c r="AM5" s="47"/>
      <c r="AN5" s="47"/>
      <c r="AO5" s="47"/>
    </row>
    <row r="6" spans="1:41">
      <c r="A6" s="107" t="s">
        <v>179</v>
      </c>
      <c r="C6" s="64">
        <v>0.06</v>
      </c>
      <c r="E6" s="44" t="s">
        <v>126</v>
      </c>
      <c r="G6" s="64">
        <v>0.8</v>
      </c>
      <c r="I6" s="65" t="s">
        <v>127</v>
      </c>
      <c r="J6" s="44">
        <v>750000</v>
      </c>
      <c r="T6" s="66"/>
      <c r="AM6" s="47"/>
      <c r="AN6" s="47"/>
      <c r="AO6" s="47"/>
    </row>
    <row r="7" spans="1:41">
      <c r="A7" s="107" t="s">
        <v>178</v>
      </c>
      <c r="C7" s="64">
        <v>4.4999999999999998E-2</v>
      </c>
      <c r="E7" s="44" t="s">
        <v>129</v>
      </c>
      <c r="G7" s="67">
        <v>27.5</v>
      </c>
      <c r="H7" s="44" t="s">
        <v>130</v>
      </c>
      <c r="I7" s="65" t="s">
        <v>131</v>
      </c>
      <c r="J7" s="64">
        <v>5.5E-2</v>
      </c>
      <c r="AL7" s="68"/>
      <c r="AM7" s="47"/>
      <c r="AN7" s="47"/>
      <c r="AO7" s="47"/>
    </row>
    <row r="8" spans="1:41">
      <c r="A8" s="43" t="s">
        <v>132</v>
      </c>
      <c r="C8" s="64">
        <v>0.35</v>
      </c>
      <c r="E8" s="44" t="s">
        <v>133</v>
      </c>
      <c r="G8" s="64">
        <v>0.15</v>
      </c>
      <c r="I8" s="65" t="s">
        <v>134</v>
      </c>
      <c r="J8" s="44">
        <v>2000</v>
      </c>
      <c r="T8" s="69"/>
      <c r="U8" s="70"/>
      <c r="AL8" s="68"/>
      <c r="AM8" s="47"/>
      <c r="AN8" s="47"/>
      <c r="AO8" s="47"/>
    </row>
    <row r="9" spans="1:41">
      <c r="A9" s="43" t="s">
        <v>135</v>
      </c>
      <c r="C9" s="64">
        <f>0.25</f>
        <v>0.25</v>
      </c>
      <c r="E9" s="44" t="s">
        <v>136</v>
      </c>
      <c r="G9" s="64">
        <v>0.25</v>
      </c>
      <c r="AL9" s="68"/>
      <c r="AM9" s="47"/>
      <c r="AN9" s="47"/>
      <c r="AO9" s="47"/>
    </row>
    <row r="10" spans="1:41">
      <c r="B10" s="71" t="s">
        <v>137</v>
      </c>
      <c r="C10" s="71" t="s">
        <v>138</v>
      </c>
      <c r="D10" s="71" t="s">
        <v>139</v>
      </c>
      <c r="E10" s="71" t="s">
        <v>140</v>
      </c>
      <c r="F10" s="71" t="s">
        <v>141</v>
      </c>
      <c r="G10" s="71" t="s">
        <v>142</v>
      </c>
      <c r="H10" s="71" t="s">
        <v>143</v>
      </c>
      <c r="I10" s="71" t="s">
        <v>144</v>
      </c>
      <c r="J10" s="71" t="s">
        <v>145</v>
      </c>
      <c r="K10" s="71" t="s">
        <v>146</v>
      </c>
      <c r="L10" s="71" t="s">
        <v>147</v>
      </c>
      <c r="M10" s="71" t="s">
        <v>148</v>
      </c>
      <c r="N10" s="72" t="s">
        <v>149</v>
      </c>
      <c r="T10" s="73"/>
      <c r="AL10" s="68"/>
      <c r="AM10" s="47"/>
      <c r="AN10" s="47"/>
      <c r="AO10" s="47"/>
    </row>
    <row r="11" spans="1:41">
      <c r="F11" s="65" t="s">
        <v>150</v>
      </c>
      <c r="H11" s="65" t="s">
        <v>151</v>
      </c>
      <c r="J11" s="65" t="s">
        <v>152</v>
      </c>
      <c r="L11" s="65" t="s">
        <v>153</v>
      </c>
      <c r="M11" s="65" t="s">
        <v>154</v>
      </c>
      <c r="N11" s="74" t="s">
        <v>155</v>
      </c>
      <c r="AL11" s="68"/>
      <c r="AM11" s="47"/>
      <c r="AN11" s="47"/>
      <c r="AO11" s="47"/>
    </row>
    <row r="12" spans="1:41">
      <c r="A12" s="75" t="s">
        <v>0</v>
      </c>
      <c r="B12" s="65" t="s">
        <v>1</v>
      </c>
      <c r="C12" s="65" t="s">
        <v>118</v>
      </c>
      <c r="D12" s="65" t="s">
        <v>2</v>
      </c>
      <c r="E12" s="65" t="s">
        <v>83</v>
      </c>
      <c r="F12" s="65" t="s">
        <v>3</v>
      </c>
      <c r="G12" s="65" t="s">
        <v>4</v>
      </c>
      <c r="H12" s="65" t="s">
        <v>5</v>
      </c>
      <c r="I12" s="65" t="s">
        <v>6</v>
      </c>
      <c r="J12" s="65" t="s">
        <v>7</v>
      </c>
      <c r="K12" s="65" t="s">
        <v>8</v>
      </c>
      <c r="L12" s="65" t="s">
        <v>9</v>
      </c>
      <c r="M12" s="65" t="s">
        <v>10</v>
      </c>
      <c r="N12" s="65" t="s">
        <v>11</v>
      </c>
      <c r="P12" s="76"/>
      <c r="Q12" s="76"/>
      <c r="R12" s="76"/>
      <c r="S12" s="76"/>
      <c r="U12" s="70"/>
      <c r="AL12" s="68"/>
      <c r="AM12" s="47"/>
      <c r="AN12" s="47"/>
      <c r="AO12" s="47"/>
    </row>
    <row r="13" spans="1:41">
      <c r="A13" s="77">
        <v>0</v>
      </c>
      <c r="B13" s="78">
        <f>C14/C6</f>
        <v>1050000</v>
      </c>
      <c r="E13" s="78">
        <f>-B13</f>
        <v>-1050000</v>
      </c>
      <c r="H13" s="78">
        <f>-(B13-(J6+N13))</f>
        <v>-1017119.2974405602</v>
      </c>
      <c r="I13" s="44">
        <f>J6</f>
        <v>750000</v>
      </c>
      <c r="J13" s="78">
        <f>-J6</f>
        <v>-750000</v>
      </c>
      <c r="L13" s="78">
        <f t="shared" ref="L13:L23" si="0">E13-J13</f>
        <v>-300000</v>
      </c>
      <c r="M13" s="44">
        <f>-(B13-J6)</f>
        <v>-300000</v>
      </c>
      <c r="N13" s="79">
        <f>-NPV(N25,N14:N23)</f>
        <v>-717119.29744056019</v>
      </c>
      <c r="O13" s="79"/>
      <c r="P13" s="79"/>
      <c r="Q13" s="79"/>
      <c r="R13" s="79"/>
      <c r="S13" s="79"/>
      <c r="AL13" s="68"/>
      <c r="AM13" s="47"/>
      <c r="AN13" s="47"/>
      <c r="AO13" s="47"/>
    </row>
    <row r="14" spans="1:41">
      <c r="A14" s="77">
        <f t="shared" ref="A14:A23" si="1">1+A13</f>
        <v>1</v>
      </c>
      <c r="B14" s="78"/>
      <c r="C14" s="44">
        <v>63000</v>
      </c>
      <c r="D14" s="44">
        <v>0</v>
      </c>
      <c r="E14" s="78">
        <f t="shared" ref="E14:E22" si="2">C14-D14</f>
        <v>63000</v>
      </c>
      <c r="F14" s="44">
        <f t="shared" ref="F14:F22" si="3">C$8*C14</f>
        <v>22050</v>
      </c>
      <c r="G14" s="44">
        <f>$B$13*$C$8*$G$6/$G$7</f>
        <v>10690.90909090909</v>
      </c>
      <c r="H14" s="78">
        <f t="shared" ref="H14:H23" si="4">E14-F14+G14</f>
        <v>51640.909090909088</v>
      </c>
      <c r="I14" s="44">
        <f t="shared" ref="I14:I23" si="5">I13-$J$8</f>
        <v>748000</v>
      </c>
      <c r="J14" s="44">
        <f t="shared" ref="J14:J22" si="6">$J$7*I13+$J$8</f>
        <v>43250</v>
      </c>
      <c r="K14" s="44">
        <f t="shared" ref="K14:K23" si="7">C$8*I13*J$7</f>
        <v>14437.5</v>
      </c>
      <c r="L14" s="44">
        <f t="shared" si="0"/>
        <v>19750</v>
      </c>
      <c r="M14" s="44">
        <f t="shared" ref="M14:M23" si="8">H14-J14+K14</f>
        <v>22828.409090909088</v>
      </c>
      <c r="N14" s="79">
        <f t="shared" ref="N14:N23" si="9">J14-K14</f>
        <v>28812.5</v>
      </c>
      <c r="O14" s="79"/>
      <c r="P14" s="79"/>
      <c r="Q14" s="80"/>
      <c r="R14" s="81"/>
      <c r="S14" s="81"/>
      <c r="U14" s="70"/>
      <c r="AL14" s="68"/>
      <c r="AM14" s="47"/>
      <c r="AN14" s="47"/>
      <c r="AO14" s="47"/>
    </row>
    <row r="15" spans="1:41">
      <c r="A15" s="77">
        <f t="shared" si="1"/>
        <v>2</v>
      </c>
      <c r="B15" s="78"/>
      <c r="C15" s="44">
        <f t="shared" ref="C15:C24" si="10">(1+C$5)*C14</f>
        <v>64260</v>
      </c>
      <c r="D15" s="44">
        <v>0</v>
      </c>
      <c r="E15" s="78">
        <f t="shared" si="2"/>
        <v>64260</v>
      </c>
      <c r="F15" s="44">
        <f t="shared" si="3"/>
        <v>22491</v>
      </c>
      <c r="G15" s="44">
        <f t="shared" ref="G15:G22" si="11">B$13*C$8*G$6/G$7</f>
        <v>10690.90909090909</v>
      </c>
      <c r="H15" s="78">
        <f t="shared" si="4"/>
        <v>52459.909090909088</v>
      </c>
      <c r="I15" s="44">
        <f t="shared" si="5"/>
        <v>746000</v>
      </c>
      <c r="J15" s="44">
        <f t="shared" si="6"/>
        <v>43140</v>
      </c>
      <c r="K15" s="44">
        <f t="shared" si="7"/>
        <v>14398.999999999998</v>
      </c>
      <c r="L15" s="44">
        <f t="shared" si="0"/>
        <v>21120</v>
      </c>
      <c r="M15" s="44">
        <f t="shared" si="8"/>
        <v>23718.909090909088</v>
      </c>
      <c r="N15" s="79">
        <f t="shared" si="9"/>
        <v>28741</v>
      </c>
      <c r="O15" s="79"/>
      <c r="P15" s="79"/>
      <c r="Q15" s="80"/>
      <c r="R15" s="81"/>
      <c r="S15" s="81"/>
      <c r="AL15" s="68"/>
      <c r="AM15" s="47"/>
      <c r="AN15" s="47"/>
      <c r="AO15" s="47"/>
    </row>
    <row r="16" spans="1:41">
      <c r="A16" s="77">
        <f t="shared" si="1"/>
        <v>3</v>
      </c>
      <c r="B16" s="78"/>
      <c r="C16" s="44">
        <f t="shared" si="10"/>
        <v>65545.2</v>
      </c>
      <c r="D16" s="44">
        <v>50000</v>
      </c>
      <c r="E16" s="78">
        <f t="shared" si="2"/>
        <v>15545.199999999997</v>
      </c>
      <c r="F16" s="44">
        <f t="shared" si="3"/>
        <v>22940.819999999996</v>
      </c>
      <c r="G16" s="44">
        <f t="shared" si="11"/>
        <v>10690.90909090909</v>
      </c>
      <c r="H16" s="78">
        <f t="shared" si="4"/>
        <v>3295.2890909090911</v>
      </c>
      <c r="I16" s="44">
        <f t="shared" si="5"/>
        <v>744000</v>
      </c>
      <c r="J16" s="44">
        <f t="shared" si="6"/>
        <v>43030</v>
      </c>
      <c r="K16" s="44">
        <f t="shared" si="7"/>
        <v>14360.499999999998</v>
      </c>
      <c r="L16" s="44">
        <f t="shared" si="0"/>
        <v>-27484.800000000003</v>
      </c>
      <c r="M16" s="44">
        <f t="shared" si="8"/>
        <v>-25374.210909090907</v>
      </c>
      <c r="N16" s="79">
        <f t="shared" si="9"/>
        <v>28669.5</v>
      </c>
      <c r="O16" s="79"/>
      <c r="P16" s="79"/>
      <c r="Q16" s="80"/>
      <c r="R16" s="81"/>
      <c r="S16" s="81"/>
      <c r="AL16" s="68"/>
      <c r="AM16" s="47"/>
      <c r="AN16" s="47"/>
      <c r="AO16" s="47"/>
    </row>
    <row r="17" spans="1:41">
      <c r="A17" s="77">
        <f t="shared" si="1"/>
        <v>4</v>
      </c>
      <c r="B17" s="78"/>
      <c r="C17" s="44">
        <f t="shared" si="10"/>
        <v>66856.103999999992</v>
      </c>
      <c r="D17" s="44">
        <v>0</v>
      </c>
      <c r="E17" s="78">
        <f t="shared" si="2"/>
        <v>66856.103999999992</v>
      </c>
      <c r="F17" s="44">
        <f t="shared" si="3"/>
        <v>23399.636399999996</v>
      </c>
      <c r="G17" s="44">
        <f t="shared" si="11"/>
        <v>10690.90909090909</v>
      </c>
      <c r="H17" s="78">
        <f t="shared" si="4"/>
        <v>54147.376690909085</v>
      </c>
      <c r="I17" s="44">
        <f t="shared" si="5"/>
        <v>742000</v>
      </c>
      <c r="J17" s="44">
        <f t="shared" si="6"/>
        <v>42920</v>
      </c>
      <c r="K17" s="44">
        <f t="shared" si="7"/>
        <v>14321.999999999998</v>
      </c>
      <c r="L17" s="44">
        <f t="shared" si="0"/>
        <v>23936.103999999992</v>
      </c>
      <c r="M17" s="44">
        <f t="shared" si="8"/>
        <v>25549.376690909085</v>
      </c>
      <c r="N17" s="79">
        <f t="shared" si="9"/>
        <v>28598</v>
      </c>
      <c r="O17" s="79"/>
      <c r="P17" s="79"/>
      <c r="Q17" s="80"/>
      <c r="R17" s="81"/>
      <c r="S17" s="81"/>
      <c r="AL17" s="68"/>
      <c r="AM17" s="47"/>
      <c r="AN17" s="47"/>
      <c r="AO17" s="47"/>
    </row>
    <row r="18" spans="1:41">
      <c r="A18" s="77">
        <f t="shared" si="1"/>
        <v>5</v>
      </c>
      <c r="B18" s="78"/>
      <c r="C18" s="44">
        <f t="shared" si="10"/>
        <v>68193.226079999993</v>
      </c>
      <c r="D18" s="44">
        <v>0</v>
      </c>
      <c r="E18" s="78">
        <f t="shared" si="2"/>
        <v>68193.226079999993</v>
      </c>
      <c r="F18" s="44">
        <f t="shared" si="3"/>
        <v>23867.629127999997</v>
      </c>
      <c r="G18" s="44">
        <f t="shared" si="11"/>
        <v>10690.90909090909</v>
      </c>
      <c r="H18" s="78">
        <f t="shared" si="4"/>
        <v>55016.506042909081</v>
      </c>
      <c r="I18" s="44">
        <f t="shared" si="5"/>
        <v>740000</v>
      </c>
      <c r="J18" s="44">
        <f t="shared" si="6"/>
        <v>42810</v>
      </c>
      <c r="K18" s="44">
        <f t="shared" si="7"/>
        <v>14283.499999999998</v>
      </c>
      <c r="L18" s="44">
        <f t="shared" si="0"/>
        <v>25383.226079999993</v>
      </c>
      <c r="M18" s="44">
        <f t="shared" si="8"/>
        <v>26490.006042909081</v>
      </c>
      <c r="N18" s="79">
        <f t="shared" si="9"/>
        <v>28526.5</v>
      </c>
      <c r="O18" s="79"/>
      <c r="P18" s="79"/>
      <c r="Q18" s="80"/>
      <c r="R18" s="81"/>
      <c r="S18" s="81"/>
      <c r="AL18" s="68"/>
      <c r="AM18" s="47"/>
      <c r="AN18" s="47"/>
      <c r="AO18" s="47"/>
    </row>
    <row r="19" spans="1:41">
      <c r="A19" s="77">
        <f t="shared" si="1"/>
        <v>6</v>
      </c>
      <c r="B19" s="78"/>
      <c r="C19" s="44">
        <f t="shared" si="10"/>
        <v>69557.090601599994</v>
      </c>
      <c r="D19" s="44">
        <v>0</v>
      </c>
      <c r="E19" s="78">
        <f t="shared" si="2"/>
        <v>69557.090601599994</v>
      </c>
      <c r="F19" s="44">
        <f t="shared" si="3"/>
        <v>24344.981710559998</v>
      </c>
      <c r="G19" s="44">
        <f t="shared" si="11"/>
        <v>10690.90909090909</v>
      </c>
      <c r="H19" s="78">
        <f t="shared" si="4"/>
        <v>55903.017981949088</v>
      </c>
      <c r="I19" s="44">
        <f t="shared" si="5"/>
        <v>738000</v>
      </c>
      <c r="J19" s="44">
        <f t="shared" si="6"/>
        <v>42700</v>
      </c>
      <c r="K19" s="44">
        <f t="shared" si="7"/>
        <v>14244.999999999998</v>
      </c>
      <c r="L19" s="44">
        <f t="shared" si="0"/>
        <v>26857.090601599994</v>
      </c>
      <c r="M19" s="44">
        <f t="shared" si="8"/>
        <v>27448.017981949088</v>
      </c>
      <c r="N19" s="79">
        <f t="shared" si="9"/>
        <v>28455</v>
      </c>
      <c r="O19" s="79"/>
      <c r="P19" s="79"/>
      <c r="Q19" s="80"/>
      <c r="R19" s="81"/>
      <c r="S19" s="81"/>
      <c r="W19" s="47"/>
      <c r="Y19" s="47"/>
      <c r="AA19" s="47"/>
      <c r="AL19" s="68"/>
      <c r="AM19" s="47"/>
      <c r="AN19" s="47"/>
      <c r="AO19" s="47"/>
    </row>
    <row r="20" spans="1:41">
      <c r="A20" s="77">
        <f t="shared" si="1"/>
        <v>7</v>
      </c>
      <c r="B20" s="78"/>
      <c r="C20" s="44">
        <f t="shared" si="10"/>
        <v>70948.232413631995</v>
      </c>
      <c r="D20" s="44">
        <v>0</v>
      </c>
      <c r="E20" s="78">
        <f t="shared" si="2"/>
        <v>70948.232413631995</v>
      </c>
      <c r="F20" s="44">
        <f t="shared" si="3"/>
        <v>24831.881344771198</v>
      </c>
      <c r="G20" s="44">
        <f t="shared" si="11"/>
        <v>10690.90909090909</v>
      </c>
      <c r="H20" s="78">
        <f t="shared" si="4"/>
        <v>56807.260159769881</v>
      </c>
      <c r="I20" s="44">
        <f t="shared" si="5"/>
        <v>736000</v>
      </c>
      <c r="J20" s="44">
        <f t="shared" si="6"/>
        <v>42590</v>
      </c>
      <c r="K20" s="44">
        <f t="shared" si="7"/>
        <v>14206.499999999998</v>
      </c>
      <c r="L20" s="44">
        <f t="shared" si="0"/>
        <v>28358.232413631995</v>
      </c>
      <c r="M20" s="44">
        <f t="shared" si="8"/>
        <v>28423.760159769881</v>
      </c>
      <c r="N20" s="79">
        <f t="shared" si="9"/>
        <v>28383.5</v>
      </c>
      <c r="O20" s="79"/>
      <c r="P20" s="79"/>
      <c r="Q20" s="80"/>
      <c r="R20" s="81"/>
      <c r="S20" s="81"/>
      <c r="T20" s="68"/>
      <c r="W20" s="68"/>
      <c r="X20" s="47"/>
      <c r="Y20" s="47"/>
      <c r="AB20" s="47"/>
      <c r="AL20" s="68"/>
      <c r="AM20" s="47"/>
      <c r="AN20" s="47"/>
      <c r="AO20" s="47"/>
    </row>
    <row r="21" spans="1:41">
      <c r="A21" s="77">
        <f t="shared" si="1"/>
        <v>8</v>
      </c>
      <c r="B21" s="78"/>
      <c r="C21" s="44">
        <f t="shared" si="10"/>
        <v>72367.197061904633</v>
      </c>
      <c r="D21" s="44">
        <v>50000</v>
      </c>
      <c r="E21" s="78">
        <f t="shared" si="2"/>
        <v>22367.197061904633</v>
      </c>
      <c r="F21" s="44">
        <f t="shared" si="3"/>
        <v>25328.518971666621</v>
      </c>
      <c r="G21" s="44">
        <f t="shared" si="11"/>
        <v>10690.90909090909</v>
      </c>
      <c r="H21" s="78">
        <f t="shared" si="4"/>
        <v>7729.5871811471025</v>
      </c>
      <c r="I21" s="44">
        <f t="shared" si="5"/>
        <v>734000</v>
      </c>
      <c r="J21" s="44">
        <f t="shared" si="6"/>
        <v>42480</v>
      </c>
      <c r="K21" s="44">
        <f t="shared" si="7"/>
        <v>14167.999999999998</v>
      </c>
      <c r="L21" s="44">
        <f t="shared" si="0"/>
        <v>-20112.802938095367</v>
      </c>
      <c r="M21" s="44">
        <f t="shared" si="8"/>
        <v>-20582.412818852899</v>
      </c>
      <c r="N21" s="79">
        <f t="shared" si="9"/>
        <v>28312</v>
      </c>
      <c r="O21" s="79"/>
      <c r="P21" s="79"/>
      <c r="Q21" s="80"/>
      <c r="R21" s="81"/>
      <c r="S21" s="81"/>
      <c r="T21" s="68"/>
      <c r="W21" s="68"/>
      <c r="X21" s="47"/>
      <c r="Y21" s="47"/>
      <c r="AB21" s="47"/>
      <c r="AL21" s="68"/>
      <c r="AM21" s="47"/>
      <c r="AN21" s="47"/>
      <c r="AO21" s="47"/>
    </row>
    <row r="22" spans="1:41">
      <c r="A22" s="77">
        <f t="shared" si="1"/>
        <v>9</v>
      </c>
      <c r="B22" s="78"/>
      <c r="C22" s="44">
        <f t="shared" si="10"/>
        <v>73814.541003142731</v>
      </c>
      <c r="D22" s="44">
        <v>0</v>
      </c>
      <c r="E22" s="78">
        <f t="shared" si="2"/>
        <v>73814.541003142731</v>
      </c>
      <c r="F22" s="44">
        <f t="shared" si="3"/>
        <v>25835.089351099956</v>
      </c>
      <c r="G22" s="44">
        <f t="shared" si="11"/>
        <v>10690.90909090909</v>
      </c>
      <c r="H22" s="78">
        <f t="shared" si="4"/>
        <v>58670.36074295186</v>
      </c>
      <c r="I22" s="44">
        <f t="shared" si="5"/>
        <v>732000</v>
      </c>
      <c r="J22" s="44">
        <f t="shared" si="6"/>
        <v>42370</v>
      </c>
      <c r="K22" s="44">
        <f t="shared" si="7"/>
        <v>14129.499999999998</v>
      </c>
      <c r="L22" s="44">
        <f t="shared" si="0"/>
        <v>31444.541003142731</v>
      </c>
      <c r="M22" s="44">
        <f t="shared" si="8"/>
        <v>30429.86074295186</v>
      </c>
      <c r="N22" s="79">
        <f t="shared" si="9"/>
        <v>28240.5</v>
      </c>
      <c r="O22" s="79"/>
      <c r="P22" s="79"/>
      <c r="Q22" s="80"/>
      <c r="R22" s="81"/>
      <c r="S22" s="81"/>
      <c r="T22" s="68"/>
      <c r="W22" s="68"/>
      <c r="X22" s="47"/>
      <c r="Y22" s="47"/>
      <c r="AL22" s="68"/>
      <c r="AM22" s="47"/>
      <c r="AN22" s="47"/>
      <c r="AO22" s="47"/>
    </row>
    <row r="23" spans="1:41">
      <c r="A23" s="77">
        <f t="shared" si="1"/>
        <v>10</v>
      </c>
      <c r="B23" s="78">
        <f>C24/C7</f>
        <v>1706592.1879926601</v>
      </c>
      <c r="C23" s="44">
        <f t="shared" si="10"/>
        <v>75290.83182320559</v>
      </c>
      <c r="D23" s="44">
        <v>0</v>
      </c>
      <c r="E23" s="78">
        <f>B23+C23-D23</f>
        <v>1781883.0198158657</v>
      </c>
      <c r="F23" s="44">
        <f>C$8*C23+G$8*(B23-(B13+SUM(D14:D23)))</f>
        <v>109840.61933702097</v>
      </c>
      <c r="G23" s="44">
        <f>B$13*($C$8*$G$6/$G$7-10*$G$9*$G$6/$G$7)</f>
        <v>-65672.727272727265</v>
      </c>
      <c r="H23" s="78">
        <f t="shared" si="4"/>
        <v>1606369.6732061175</v>
      </c>
      <c r="I23" s="44">
        <f t="shared" si="5"/>
        <v>730000</v>
      </c>
      <c r="J23" s="44">
        <f>$J$7*I22+I22</f>
        <v>772260</v>
      </c>
      <c r="K23" s="44">
        <f t="shared" si="7"/>
        <v>14090.999999999998</v>
      </c>
      <c r="L23" s="44">
        <f t="shared" si="0"/>
        <v>1009623.0198158657</v>
      </c>
      <c r="M23" s="44">
        <f t="shared" si="8"/>
        <v>848200.67320611747</v>
      </c>
      <c r="N23" s="79">
        <f t="shared" si="9"/>
        <v>758169</v>
      </c>
      <c r="O23" s="79"/>
      <c r="P23" s="79"/>
      <c r="Q23" s="80"/>
      <c r="R23" s="81"/>
      <c r="S23" s="81"/>
      <c r="T23" s="68"/>
      <c r="W23" s="68"/>
      <c r="X23" s="47"/>
      <c r="Y23" s="47"/>
      <c r="AL23" s="68"/>
      <c r="AM23" s="47"/>
      <c r="AN23" s="47"/>
      <c r="AO23" s="47"/>
    </row>
    <row r="24" spans="1:41">
      <c r="C24" s="44">
        <f t="shared" si="10"/>
        <v>76796.648459669697</v>
      </c>
      <c r="M24" s="44"/>
      <c r="AL24" s="68"/>
      <c r="AM24" s="47"/>
      <c r="AN24" s="47"/>
      <c r="AO24" s="47"/>
    </row>
    <row r="25" spans="1:41">
      <c r="A25" s="64" t="s">
        <v>13</v>
      </c>
      <c r="D25" s="64"/>
      <c r="E25" s="64">
        <f>IRR(E13:E23,0.1)</f>
        <v>9.540197382317861E-2</v>
      </c>
      <c r="F25" s="64"/>
      <c r="G25" s="64"/>
      <c r="H25" s="64">
        <f>IRR(H13:H23,0.1)</f>
        <v>8.0185959635101778E-2</v>
      </c>
      <c r="J25" s="64">
        <f>IRR(J13:J23,0.1)</f>
        <v>5.4999999999999938E-2</v>
      </c>
      <c r="K25" s="64"/>
      <c r="L25" s="64">
        <f>IRR(L13:L23,0.1)</f>
        <v>0.15664072832749931</v>
      </c>
      <c r="M25" s="64">
        <f>IRR(M13:M23,0.1)</f>
        <v>0.14213911794975864</v>
      </c>
      <c r="N25" s="64">
        <f>J7*(1-C9)</f>
        <v>4.1250000000000002E-2</v>
      </c>
      <c r="O25" s="64"/>
      <c r="P25" s="64"/>
      <c r="Q25" s="64"/>
      <c r="R25" s="64"/>
      <c r="S25" s="64"/>
      <c r="V25" s="82"/>
      <c r="AL25" s="68"/>
      <c r="AM25" s="47"/>
      <c r="AN25" s="47"/>
      <c r="AO25" s="47"/>
    </row>
    <row r="26" spans="1:41">
      <c r="B26" s="43"/>
      <c r="C26" s="43"/>
      <c r="D26" s="43"/>
      <c r="E26" s="43"/>
      <c r="F26" s="43"/>
      <c r="G26" s="43"/>
      <c r="H26" s="43"/>
      <c r="J26" s="43"/>
      <c r="K26" s="43"/>
      <c r="L26" s="43"/>
      <c r="O26" s="47"/>
      <c r="P26" s="47"/>
      <c r="Q26" s="47"/>
      <c r="R26" s="47"/>
      <c r="S26" s="47"/>
      <c r="V26" s="82"/>
      <c r="W26" s="75"/>
      <c r="AN26" s="47"/>
      <c r="AO26" s="47"/>
    </row>
    <row r="27" spans="1:41">
      <c r="B27" s="43"/>
      <c r="C27" s="43"/>
      <c r="D27" s="43"/>
      <c r="E27" s="43"/>
      <c r="F27" s="43"/>
      <c r="G27" s="43"/>
      <c r="H27" s="43"/>
      <c r="J27" s="43"/>
      <c r="K27" s="43"/>
      <c r="L27" s="43"/>
      <c r="O27" s="47"/>
      <c r="P27" s="47"/>
      <c r="Q27" s="47"/>
      <c r="R27" s="47"/>
      <c r="S27" s="47"/>
      <c r="T27" s="68"/>
      <c r="V27" s="68"/>
      <c r="W27" s="47"/>
      <c r="AN27" s="47"/>
      <c r="AO27" s="47"/>
    </row>
    <row r="28" spans="1:41">
      <c r="A28" s="43" t="s">
        <v>14</v>
      </c>
      <c r="T28" s="68"/>
      <c r="V28" s="68"/>
      <c r="W28" s="47"/>
      <c r="AN28" s="47"/>
      <c r="AO28" s="47"/>
    </row>
    <row r="29" spans="1:41">
      <c r="B29" s="65" t="s">
        <v>99</v>
      </c>
      <c r="K29" s="65" t="s">
        <v>15</v>
      </c>
      <c r="L29" s="65" t="s">
        <v>16</v>
      </c>
      <c r="M29" s="75" t="s">
        <v>17</v>
      </c>
      <c r="N29" s="75" t="s">
        <v>107</v>
      </c>
      <c r="T29" s="68"/>
      <c r="V29" s="68"/>
      <c r="W29" s="47"/>
      <c r="AN29" s="47"/>
      <c r="AO29" s="47"/>
    </row>
    <row r="30" spans="1:41">
      <c r="A30" s="43" t="s">
        <v>18</v>
      </c>
      <c r="B30" s="44">
        <v>1</v>
      </c>
      <c r="C30" s="44">
        <v>2</v>
      </c>
      <c r="D30" s="44">
        <v>3</v>
      </c>
      <c r="E30" s="44">
        <v>4</v>
      </c>
      <c r="F30" s="44">
        <v>5</v>
      </c>
      <c r="G30" s="44">
        <v>6</v>
      </c>
      <c r="H30" s="44">
        <v>7</v>
      </c>
      <c r="I30" s="44">
        <v>8</v>
      </c>
      <c r="J30" s="44">
        <v>9</v>
      </c>
      <c r="K30" s="65" t="s">
        <v>19</v>
      </c>
      <c r="L30" s="65" t="s">
        <v>20</v>
      </c>
      <c r="M30" s="75" t="s">
        <v>19</v>
      </c>
      <c r="N30" s="75" t="s">
        <v>19</v>
      </c>
      <c r="T30" s="68"/>
      <c r="V30" s="68"/>
      <c r="W30" s="47"/>
      <c r="AN30" s="47"/>
      <c r="AO30" s="47"/>
    </row>
    <row r="31" spans="1:41">
      <c r="A31" s="43" t="s">
        <v>21</v>
      </c>
      <c r="T31" s="68"/>
      <c r="V31" s="68"/>
      <c r="W31" s="47"/>
      <c r="AN31" s="47"/>
      <c r="AO31" s="47"/>
    </row>
    <row r="32" spans="1:41">
      <c r="A32" s="75" t="s">
        <v>118</v>
      </c>
      <c r="B32" s="44">
        <f>C14</f>
        <v>63000</v>
      </c>
      <c r="C32" s="44">
        <f>C15</f>
        <v>64260</v>
      </c>
      <c r="D32" s="44">
        <f>C16</f>
        <v>65545.2</v>
      </c>
      <c r="E32" s="44">
        <f>C17</f>
        <v>66856.103999999992</v>
      </c>
      <c r="F32" s="44">
        <f>C18</f>
        <v>68193.226079999993</v>
      </c>
      <c r="G32" s="44">
        <f>C19</f>
        <v>69557.090601599994</v>
      </c>
      <c r="H32" s="44">
        <f>C20</f>
        <v>70948.232413631995</v>
      </c>
      <c r="I32" s="44">
        <f>C21</f>
        <v>72367.197061904633</v>
      </c>
      <c r="J32" s="44">
        <f>C22</f>
        <v>73814.541003142731</v>
      </c>
      <c r="K32" s="44">
        <f>C23</f>
        <v>75290.83182320559</v>
      </c>
      <c r="L32" s="65" t="s">
        <v>22</v>
      </c>
      <c r="M32" s="44">
        <f>B23</f>
        <v>1706592.1879926601</v>
      </c>
      <c r="N32" s="44"/>
      <c r="T32" s="68"/>
      <c r="V32" s="68"/>
      <c r="W32" s="47"/>
      <c r="AN32" s="47"/>
      <c r="AO32" s="47"/>
    </row>
    <row r="33" spans="1:44">
      <c r="A33" s="75" t="s">
        <v>23</v>
      </c>
      <c r="B33" s="44">
        <f t="shared" ref="B33:K33" si="12">$B$13*$G$6/$G$7</f>
        <v>30545.454545454544</v>
      </c>
      <c r="C33" s="44">
        <f t="shared" si="12"/>
        <v>30545.454545454544</v>
      </c>
      <c r="D33" s="44">
        <f t="shared" si="12"/>
        <v>30545.454545454544</v>
      </c>
      <c r="E33" s="44">
        <f t="shared" si="12"/>
        <v>30545.454545454544</v>
      </c>
      <c r="F33" s="44">
        <f t="shared" si="12"/>
        <v>30545.454545454544</v>
      </c>
      <c r="G33" s="44">
        <f t="shared" si="12"/>
        <v>30545.454545454544</v>
      </c>
      <c r="H33" s="44">
        <f t="shared" si="12"/>
        <v>30545.454545454544</v>
      </c>
      <c r="I33" s="44">
        <f t="shared" si="12"/>
        <v>30545.454545454544</v>
      </c>
      <c r="J33" s="44">
        <f t="shared" si="12"/>
        <v>30545.454545454544</v>
      </c>
      <c r="K33" s="44">
        <f t="shared" si="12"/>
        <v>30545.454545454544</v>
      </c>
      <c r="L33" s="65" t="s">
        <v>24</v>
      </c>
      <c r="M33" s="44">
        <f>B13-SUM(B33:K33)+SUM(B39:K39)</f>
        <v>844545.45454545459</v>
      </c>
      <c r="N33" s="44"/>
      <c r="T33" s="68"/>
      <c r="V33" s="68"/>
      <c r="W33" s="47"/>
      <c r="AN33" s="47"/>
      <c r="AO33" s="47"/>
    </row>
    <row r="34" spans="1:44">
      <c r="A34" s="75" t="s">
        <v>25</v>
      </c>
      <c r="B34" s="44">
        <f t="shared" ref="B34:K34" si="13">B32-B33</f>
        <v>32454.545454545456</v>
      </c>
      <c r="C34" s="44">
        <f t="shared" si="13"/>
        <v>33714.545454545456</v>
      </c>
      <c r="D34" s="44">
        <f t="shared" si="13"/>
        <v>34999.745454545453</v>
      </c>
      <c r="E34" s="44">
        <f t="shared" si="13"/>
        <v>36310.649454545448</v>
      </c>
      <c r="F34" s="44">
        <f t="shared" si="13"/>
        <v>37647.771534545449</v>
      </c>
      <c r="G34" s="44">
        <f t="shared" si="13"/>
        <v>39011.636056145449</v>
      </c>
      <c r="H34" s="44">
        <f t="shared" si="13"/>
        <v>40402.777868177451</v>
      </c>
      <c r="I34" s="44">
        <f t="shared" si="13"/>
        <v>41821.742516450089</v>
      </c>
      <c r="J34" s="44">
        <f t="shared" si="13"/>
        <v>43269.086457688187</v>
      </c>
      <c r="K34" s="44">
        <f t="shared" si="13"/>
        <v>44745.377277751046</v>
      </c>
      <c r="L34" s="65" t="s">
        <v>26</v>
      </c>
      <c r="M34" s="44">
        <f>M32-M33</f>
        <v>862046.73344720551</v>
      </c>
      <c r="N34" s="44">
        <f>K34+M34</f>
        <v>906792.1107249565</v>
      </c>
      <c r="T34" s="68"/>
      <c r="V34" s="68"/>
      <c r="W34" s="47"/>
      <c r="AN34" s="47"/>
      <c r="AO34" s="47"/>
    </row>
    <row r="35" spans="1:44">
      <c r="A35" s="75" t="s">
        <v>27</v>
      </c>
      <c r="B35" s="44">
        <f t="shared" ref="B35:K35" si="14">$C$8*B34</f>
        <v>11359.090909090908</v>
      </c>
      <c r="C35" s="44">
        <f t="shared" si="14"/>
        <v>11800.090909090908</v>
      </c>
      <c r="D35" s="44">
        <f t="shared" si="14"/>
        <v>12249.910909090908</v>
      </c>
      <c r="E35" s="44">
        <f t="shared" si="14"/>
        <v>12708.727309090906</v>
      </c>
      <c r="F35" s="44">
        <f t="shared" si="14"/>
        <v>13176.720037090907</v>
      </c>
      <c r="G35" s="44">
        <f t="shared" si="14"/>
        <v>13654.072619650906</v>
      </c>
      <c r="H35" s="44">
        <f t="shared" si="14"/>
        <v>14140.972253862106</v>
      </c>
      <c r="I35" s="44">
        <f t="shared" si="14"/>
        <v>14637.609880757531</v>
      </c>
      <c r="J35" s="44">
        <f t="shared" si="14"/>
        <v>15144.180260190864</v>
      </c>
      <c r="K35" s="44">
        <f t="shared" si="14"/>
        <v>15660.882047212865</v>
      </c>
      <c r="L35" s="65" t="s">
        <v>28</v>
      </c>
      <c r="M35" s="44">
        <f>G8*(M32-(B13+SUM(B39:K39)))+G9*SUM(B33:K33)</f>
        <v>159852.46456253534</v>
      </c>
      <c r="N35" s="44"/>
      <c r="T35" s="68"/>
      <c r="V35" s="68"/>
      <c r="W35" s="47"/>
      <c r="AN35" s="47"/>
      <c r="AO35" s="47"/>
    </row>
    <row r="36" spans="1:44">
      <c r="A36" s="75" t="s">
        <v>29</v>
      </c>
      <c r="B36" s="44">
        <f t="shared" ref="B36:K36" si="15">B34-B35</f>
        <v>21095.454545454548</v>
      </c>
      <c r="C36" s="44">
        <f t="shared" si="15"/>
        <v>21914.454545454548</v>
      </c>
      <c r="D36" s="44">
        <f t="shared" si="15"/>
        <v>22749.834545454545</v>
      </c>
      <c r="E36" s="44">
        <f t="shared" si="15"/>
        <v>23601.92214545454</v>
      </c>
      <c r="F36" s="44">
        <f t="shared" si="15"/>
        <v>24471.051497454544</v>
      </c>
      <c r="G36" s="44">
        <f t="shared" si="15"/>
        <v>25357.563436494544</v>
      </c>
      <c r="H36" s="44">
        <f t="shared" si="15"/>
        <v>26261.805614315344</v>
      </c>
      <c r="I36" s="44">
        <f t="shared" si="15"/>
        <v>27184.132635692557</v>
      </c>
      <c r="J36" s="44">
        <f t="shared" si="15"/>
        <v>28124.906197497323</v>
      </c>
      <c r="K36" s="44">
        <f t="shared" si="15"/>
        <v>29084.495230538181</v>
      </c>
      <c r="L36" s="65" t="s">
        <v>30</v>
      </c>
      <c r="M36" s="44">
        <f>M34-M35</f>
        <v>702194.26888467022</v>
      </c>
      <c r="N36" s="44">
        <f>K36+M36</f>
        <v>731278.76411520841</v>
      </c>
      <c r="T36" s="68"/>
      <c r="V36" s="68"/>
      <c r="W36" s="47"/>
      <c r="AN36" s="47"/>
      <c r="AO36" s="47"/>
      <c r="AP36" s="47"/>
      <c r="AQ36" s="68"/>
    </row>
    <row r="37" spans="1:44">
      <c r="M37" s="44"/>
      <c r="N37" s="44"/>
      <c r="T37" s="68"/>
      <c r="V37" s="68"/>
      <c r="W37" s="47"/>
      <c r="AN37" s="47"/>
      <c r="AO37" s="47"/>
      <c r="AP37" s="47"/>
      <c r="AQ37" s="68"/>
    </row>
    <row r="38" spans="1:44">
      <c r="A38" s="43" t="s">
        <v>31</v>
      </c>
      <c r="M38" s="44"/>
      <c r="N38" s="44"/>
      <c r="T38" s="68"/>
      <c r="V38" s="68"/>
      <c r="W38" s="47"/>
      <c r="AN38" s="47"/>
      <c r="AO38" s="47"/>
      <c r="AR38" s="72"/>
    </row>
    <row r="39" spans="1:44">
      <c r="A39" s="75" t="s">
        <v>32</v>
      </c>
      <c r="B39" s="44">
        <f>D14</f>
        <v>0</v>
      </c>
      <c r="C39" s="44">
        <f>D15</f>
        <v>0</v>
      </c>
      <c r="D39" s="44">
        <f>D16</f>
        <v>50000</v>
      </c>
      <c r="E39" s="44">
        <f>D17</f>
        <v>0</v>
      </c>
      <c r="F39" s="44">
        <f>D18</f>
        <v>0</v>
      </c>
      <c r="G39" s="44">
        <f>D19</f>
        <v>0</v>
      </c>
      <c r="H39" s="44">
        <f>D20</f>
        <v>0</v>
      </c>
      <c r="I39" s="44">
        <f>D21</f>
        <v>50000</v>
      </c>
      <c r="J39" s="44">
        <f>D22</f>
        <v>0</v>
      </c>
      <c r="K39" s="44">
        <f>D23</f>
        <v>0</v>
      </c>
      <c r="M39" s="44"/>
      <c r="N39" s="44"/>
      <c r="T39" s="68"/>
      <c r="V39" s="68"/>
      <c r="W39" s="47"/>
      <c r="AN39" s="47"/>
      <c r="AO39" s="47"/>
    </row>
    <row r="40" spans="1:44">
      <c r="A40" s="75" t="s">
        <v>33</v>
      </c>
      <c r="B40" s="44">
        <f t="shared" ref="B40:K40" si="16">B33</f>
        <v>30545.454545454544</v>
      </c>
      <c r="C40" s="44">
        <f t="shared" si="16"/>
        <v>30545.454545454544</v>
      </c>
      <c r="D40" s="44">
        <f t="shared" si="16"/>
        <v>30545.454545454544</v>
      </c>
      <c r="E40" s="44">
        <f t="shared" si="16"/>
        <v>30545.454545454544</v>
      </c>
      <c r="F40" s="44">
        <f t="shared" si="16"/>
        <v>30545.454545454544</v>
      </c>
      <c r="G40" s="44">
        <f t="shared" si="16"/>
        <v>30545.454545454544</v>
      </c>
      <c r="H40" s="44">
        <f t="shared" si="16"/>
        <v>30545.454545454544</v>
      </c>
      <c r="I40" s="44">
        <f t="shared" si="16"/>
        <v>30545.454545454544</v>
      </c>
      <c r="J40" s="44">
        <f t="shared" si="16"/>
        <v>30545.454545454544</v>
      </c>
      <c r="K40" s="44">
        <f t="shared" si="16"/>
        <v>30545.454545454544</v>
      </c>
      <c r="L40" s="65" t="s">
        <v>34</v>
      </c>
      <c r="M40" s="44">
        <f>M33</f>
        <v>844545.45454545459</v>
      </c>
      <c r="N40" s="44"/>
      <c r="T40" s="68"/>
      <c r="V40" s="68"/>
      <c r="W40" s="47"/>
      <c r="AN40" s="47"/>
      <c r="AO40" s="47"/>
    </row>
    <row r="41" spans="1:44">
      <c r="A41" s="75" t="s">
        <v>35</v>
      </c>
      <c r="B41" s="44">
        <f t="shared" ref="B41:K41" si="17">B36-B39+B40</f>
        <v>51640.909090909088</v>
      </c>
      <c r="C41" s="44">
        <f t="shared" si="17"/>
        <v>52459.909090909088</v>
      </c>
      <c r="D41" s="44">
        <f t="shared" si="17"/>
        <v>3295.2890909090893</v>
      </c>
      <c r="E41" s="44">
        <f t="shared" si="17"/>
        <v>54147.376690909085</v>
      </c>
      <c r="F41" s="44">
        <f t="shared" si="17"/>
        <v>55016.506042909088</v>
      </c>
      <c r="G41" s="44">
        <f t="shared" si="17"/>
        <v>55903.017981949088</v>
      </c>
      <c r="H41" s="44">
        <f t="shared" si="17"/>
        <v>56807.260159769889</v>
      </c>
      <c r="I41" s="44">
        <f t="shared" si="17"/>
        <v>7729.5871811471006</v>
      </c>
      <c r="J41" s="44">
        <f t="shared" si="17"/>
        <v>58670.360742951867</v>
      </c>
      <c r="K41" s="44">
        <f t="shared" si="17"/>
        <v>59629.949775992725</v>
      </c>
      <c r="L41" s="65" t="s">
        <v>36</v>
      </c>
      <c r="M41" s="44">
        <f>M36+M40</f>
        <v>1546739.7234301248</v>
      </c>
      <c r="N41" s="44">
        <f>K41+M41</f>
        <v>1606369.6732061175</v>
      </c>
      <c r="T41" s="68"/>
      <c r="V41" s="68"/>
      <c r="W41" s="47"/>
      <c r="AN41" s="47"/>
      <c r="AO41" s="47"/>
    </row>
    <row r="42" spans="1:44">
      <c r="M42" s="44"/>
      <c r="N42" s="44"/>
      <c r="T42" s="68"/>
      <c r="V42" s="68"/>
      <c r="W42" s="47"/>
      <c r="AN42" s="47"/>
      <c r="AO42" s="47"/>
    </row>
    <row r="43" spans="1:44">
      <c r="A43" s="75" t="s">
        <v>37</v>
      </c>
      <c r="B43" s="44">
        <f t="shared" ref="B43:K43" si="18">B35</f>
        <v>11359.090909090908</v>
      </c>
      <c r="C43" s="44">
        <f t="shared" si="18"/>
        <v>11800.090909090908</v>
      </c>
      <c r="D43" s="44">
        <f t="shared" si="18"/>
        <v>12249.910909090908</v>
      </c>
      <c r="E43" s="44">
        <f t="shared" si="18"/>
        <v>12708.727309090906</v>
      </c>
      <c r="F43" s="44">
        <f t="shared" si="18"/>
        <v>13176.720037090907</v>
      </c>
      <c r="G43" s="44">
        <f t="shared" si="18"/>
        <v>13654.072619650906</v>
      </c>
      <c r="H43" s="44">
        <f t="shared" si="18"/>
        <v>14140.972253862106</v>
      </c>
      <c r="I43" s="44">
        <f t="shared" si="18"/>
        <v>14637.609880757531</v>
      </c>
      <c r="J43" s="44">
        <f t="shared" si="18"/>
        <v>15144.180260190864</v>
      </c>
      <c r="K43" s="44">
        <f t="shared" si="18"/>
        <v>15660.882047212865</v>
      </c>
      <c r="L43" s="65" t="s">
        <v>38</v>
      </c>
      <c r="M43" s="44">
        <f>M35</f>
        <v>159852.46456253534</v>
      </c>
      <c r="N43" s="44"/>
      <c r="T43" s="68"/>
      <c r="V43" s="68"/>
      <c r="W43" s="47"/>
      <c r="AN43" s="47"/>
      <c r="AO43" s="47"/>
    </row>
    <row r="44" spans="1:44">
      <c r="A44" s="75" t="s">
        <v>39</v>
      </c>
      <c r="B44" s="44">
        <f t="shared" ref="B44:K44" si="19">B41+B43</f>
        <v>63000</v>
      </c>
      <c r="C44" s="44">
        <f t="shared" si="19"/>
        <v>64260</v>
      </c>
      <c r="D44" s="44">
        <f t="shared" si="19"/>
        <v>15545.199999999997</v>
      </c>
      <c r="E44" s="44">
        <f t="shared" si="19"/>
        <v>66856.103999999992</v>
      </c>
      <c r="F44" s="44">
        <f t="shared" si="19"/>
        <v>68193.226079999993</v>
      </c>
      <c r="G44" s="44">
        <f t="shared" si="19"/>
        <v>69557.090601599994</v>
      </c>
      <c r="H44" s="44">
        <f t="shared" si="19"/>
        <v>70948.232413631995</v>
      </c>
      <c r="I44" s="44">
        <f t="shared" si="19"/>
        <v>22367.197061904633</v>
      </c>
      <c r="J44" s="44">
        <f t="shared" si="19"/>
        <v>73814.541003142731</v>
      </c>
      <c r="K44" s="44">
        <f t="shared" si="19"/>
        <v>75290.83182320559</v>
      </c>
      <c r="L44" s="65" t="s">
        <v>39</v>
      </c>
      <c r="M44" s="44">
        <f>M41+M43</f>
        <v>1706592.1879926601</v>
      </c>
      <c r="N44" s="44">
        <f>K44+M44</f>
        <v>1781883.0198158657</v>
      </c>
      <c r="T44" s="68"/>
      <c r="V44" s="68"/>
      <c r="W44" s="47"/>
      <c r="AN44" s="47"/>
      <c r="AO44" s="47"/>
    </row>
    <row r="45" spans="1:44">
      <c r="M45" s="44"/>
      <c r="N45" s="44"/>
      <c r="T45" s="68"/>
      <c r="V45" s="68"/>
      <c r="W45" s="47"/>
      <c r="AN45" s="47"/>
      <c r="AO45" s="47"/>
    </row>
    <row r="46" spans="1:44">
      <c r="M46" s="44"/>
      <c r="N46" s="44"/>
      <c r="T46" s="68"/>
      <c r="V46" s="68"/>
      <c r="W46" s="47"/>
      <c r="AN46" s="47"/>
      <c r="AO46" s="47"/>
    </row>
    <row r="47" spans="1:44" ht="22.8">
      <c r="A47" s="83" t="s">
        <v>40</v>
      </c>
      <c r="M47" s="44"/>
      <c r="N47" s="44"/>
      <c r="T47" s="68"/>
      <c r="V47" s="68"/>
      <c r="AN47" s="47"/>
      <c r="AO47" s="47"/>
    </row>
    <row r="48" spans="1:44">
      <c r="M48" s="44"/>
      <c r="N48" s="44"/>
      <c r="T48" s="68"/>
      <c r="V48" s="68"/>
      <c r="AN48" s="47"/>
      <c r="AO48" s="47"/>
    </row>
    <row r="49" spans="1:43">
      <c r="A49" s="43" t="s">
        <v>41</v>
      </c>
      <c r="C49" s="84">
        <f>B13</f>
        <v>1050000</v>
      </c>
      <c r="E49" s="43"/>
      <c r="F49" s="65" t="s">
        <v>42</v>
      </c>
      <c r="G49" s="65" t="s">
        <v>43</v>
      </c>
      <c r="H49" s="43"/>
      <c r="M49" s="44"/>
      <c r="N49" s="44"/>
      <c r="V49" s="68"/>
      <c r="AN49" s="47"/>
      <c r="AO49" s="47"/>
    </row>
    <row r="50" spans="1:43">
      <c r="A50" s="43" t="s">
        <v>44</v>
      </c>
      <c r="C50" s="44">
        <f>B13*G6</f>
        <v>840000</v>
      </c>
      <c r="E50" s="65" t="s">
        <v>45</v>
      </c>
      <c r="F50" s="64">
        <f>E25</f>
        <v>9.540197382317861E-2</v>
      </c>
      <c r="G50" s="64">
        <f>L25</f>
        <v>0.15664072832749931</v>
      </c>
      <c r="H50" s="43"/>
      <c r="M50" s="44"/>
      <c r="N50" s="44"/>
      <c r="AN50" s="47"/>
      <c r="AO50" s="47"/>
    </row>
    <row r="51" spans="1:43">
      <c r="A51" s="43" t="s">
        <v>46</v>
      </c>
      <c r="C51" s="64">
        <f>C8</f>
        <v>0.35</v>
      </c>
      <c r="E51" s="65" t="s">
        <v>47</v>
      </c>
      <c r="F51" s="64">
        <f>H25</f>
        <v>8.0185959635101778E-2</v>
      </c>
      <c r="G51" s="64">
        <f>M25</f>
        <v>0.14213911794975864</v>
      </c>
      <c r="H51" s="43"/>
      <c r="M51" s="44"/>
      <c r="N51" s="44"/>
      <c r="AN51" s="47"/>
      <c r="AO51" s="47"/>
    </row>
    <row r="52" spans="1:43">
      <c r="A52" s="43" t="s">
        <v>48</v>
      </c>
      <c r="C52" s="64">
        <f>G8</f>
        <v>0.15</v>
      </c>
      <c r="E52" s="65" t="s">
        <v>49</v>
      </c>
      <c r="F52" s="85">
        <f>F51/F50</f>
        <v>0.84050629585213055</v>
      </c>
      <c r="G52" s="85">
        <f>G51/G50</f>
        <v>0.90742120179994834</v>
      </c>
      <c r="M52" s="44"/>
      <c r="N52" s="44"/>
      <c r="AN52" s="47"/>
      <c r="AO52" s="47"/>
    </row>
    <row r="53" spans="1:43">
      <c r="A53" s="43" t="s">
        <v>50</v>
      </c>
      <c r="B53" s="44" t="s">
        <v>51</v>
      </c>
      <c r="C53" s="64">
        <f>G9</f>
        <v>0.25</v>
      </c>
      <c r="D53" s="44" t="s">
        <v>51</v>
      </c>
      <c r="E53" s="44" t="s">
        <v>51</v>
      </c>
      <c r="F53" s="44" t="s">
        <v>51</v>
      </c>
      <c r="G53" s="44" t="s">
        <v>51</v>
      </c>
      <c r="H53" s="44" t="s">
        <v>51</v>
      </c>
      <c r="I53" s="44" t="s">
        <v>51</v>
      </c>
      <c r="J53" s="44" t="s">
        <v>51</v>
      </c>
      <c r="K53" s="44" t="s">
        <v>51</v>
      </c>
      <c r="L53" s="44" t="s">
        <v>51</v>
      </c>
      <c r="M53" s="43" t="s">
        <v>51</v>
      </c>
      <c r="N53" s="43" t="s">
        <v>51</v>
      </c>
      <c r="AL53" s="44"/>
      <c r="AN53" s="47"/>
      <c r="AO53" s="47"/>
    </row>
    <row r="54" spans="1:43">
      <c r="A54" s="44"/>
      <c r="H54" s="43"/>
      <c r="AL54" s="44"/>
      <c r="AN54" s="68"/>
      <c r="AO54" s="68"/>
    </row>
    <row r="55" spans="1:43">
      <c r="B55" s="71" t="s">
        <v>99</v>
      </c>
      <c r="K55" s="65" t="s">
        <v>15</v>
      </c>
      <c r="L55" s="65" t="s">
        <v>16</v>
      </c>
      <c r="M55" s="65" t="s">
        <v>17</v>
      </c>
      <c r="N55" s="65" t="s">
        <v>107</v>
      </c>
      <c r="AL55" s="44"/>
      <c r="AN55" s="47"/>
      <c r="AO55" s="47"/>
    </row>
    <row r="56" spans="1:43">
      <c r="A56" s="43" t="s">
        <v>18</v>
      </c>
      <c r="B56" s="86">
        <v>1</v>
      </c>
      <c r="C56" s="86">
        <v>2</v>
      </c>
      <c r="D56" s="86">
        <v>3</v>
      </c>
      <c r="E56" s="86">
        <v>4</v>
      </c>
      <c r="F56" s="86">
        <v>5</v>
      </c>
      <c r="G56" s="86">
        <v>6</v>
      </c>
      <c r="H56" s="86">
        <v>7</v>
      </c>
      <c r="I56" s="86">
        <v>8</v>
      </c>
      <c r="J56" s="86">
        <v>9</v>
      </c>
      <c r="K56" s="65" t="s">
        <v>19</v>
      </c>
      <c r="L56" s="65" t="s">
        <v>52</v>
      </c>
      <c r="M56" s="65" t="s">
        <v>19</v>
      </c>
      <c r="N56" s="65" t="s">
        <v>19</v>
      </c>
      <c r="AL56" s="44"/>
      <c r="AN56" s="68"/>
      <c r="AO56" s="68"/>
    </row>
    <row r="57" spans="1:43">
      <c r="A57" s="43" t="s">
        <v>21</v>
      </c>
      <c r="M57" s="44"/>
      <c r="N57" s="44"/>
      <c r="AL57" s="44"/>
      <c r="AN57" s="47"/>
      <c r="AO57" s="47"/>
    </row>
    <row r="58" spans="1:43">
      <c r="A58" s="75" t="s">
        <v>118</v>
      </c>
      <c r="B58" s="44">
        <f t="shared" ref="B58:K58" si="20">B32</f>
        <v>63000</v>
      </c>
      <c r="C58" s="44">
        <f t="shared" si="20"/>
        <v>64260</v>
      </c>
      <c r="D58" s="44">
        <f t="shared" si="20"/>
        <v>65545.2</v>
      </c>
      <c r="E58" s="44">
        <f t="shared" si="20"/>
        <v>66856.103999999992</v>
      </c>
      <c r="F58" s="44">
        <f t="shared" si="20"/>
        <v>68193.226079999993</v>
      </c>
      <c r="G58" s="44">
        <f t="shared" si="20"/>
        <v>69557.090601599994</v>
      </c>
      <c r="H58" s="44">
        <f t="shared" si="20"/>
        <v>70948.232413631995</v>
      </c>
      <c r="I58" s="44">
        <f t="shared" si="20"/>
        <v>72367.197061904633</v>
      </c>
      <c r="J58" s="44">
        <f t="shared" si="20"/>
        <v>73814.541003142731</v>
      </c>
      <c r="K58" s="44">
        <f t="shared" si="20"/>
        <v>75290.83182320559</v>
      </c>
      <c r="L58" s="65" t="s">
        <v>22</v>
      </c>
      <c r="M58" s="44">
        <f>M32</f>
        <v>1706592.1879926601</v>
      </c>
      <c r="N58" s="44"/>
      <c r="AL58" s="44"/>
      <c r="AN58" s="47"/>
      <c r="AO58" s="47"/>
    </row>
    <row r="59" spans="1:43">
      <c r="A59" s="75" t="s">
        <v>53</v>
      </c>
      <c r="B59" s="44">
        <f t="shared" ref="B59:K59" si="21">B33</f>
        <v>30545.454545454544</v>
      </c>
      <c r="C59" s="44">
        <f t="shared" si="21"/>
        <v>30545.454545454544</v>
      </c>
      <c r="D59" s="44">
        <f t="shared" si="21"/>
        <v>30545.454545454544</v>
      </c>
      <c r="E59" s="44">
        <f t="shared" si="21"/>
        <v>30545.454545454544</v>
      </c>
      <c r="F59" s="44">
        <f t="shared" si="21"/>
        <v>30545.454545454544</v>
      </c>
      <c r="G59" s="44">
        <f t="shared" si="21"/>
        <v>30545.454545454544</v>
      </c>
      <c r="H59" s="44">
        <f t="shared" si="21"/>
        <v>30545.454545454544</v>
      </c>
      <c r="I59" s="44">
        <f t="shared" si="21"/>
        <v>30545.454545454544</v>
      </c>
      <c r="J59" s="44">
        <f t="shared" si="21"/>
        <v>30545.454545454544</v>
      </c>
      <c r="K59" s="44">
        <f t="shared" si="21"/>
        <v>30545.454545454544</v>
      </c>
      <c r="L59" s="65" t="s">
        <v>24</v>
      </c>
      <c r="M59" s="44">
        <f>M33</f>
        <v>844545.45454545459</v>
      </c>
      <c r="N59" s="44"/>
      <c r="AL59" s="44"/>
      <c r="AN59" s="68"/>
      <c r="AO59" s="47"/>
      <c r="AP59" s="68"/>
    </row>
    <row r="60" spans="1:43">
      <c r="A60" s="75" t="s">
        <v>54</v>
      </c>
      <c r="B60" s="44">
        <f>$J$7*I13</f>
        <v>41250</v>
      </c>
      <c r="C60" s="44">
        <f>$J$7*I14</f>
        <v>41140</v>
      </c>
      <c r="D60" s="44">
        <f>$J$7*$I15</f>
        <v>41030</v>
      </c>
      <c r="E60" s="44">
        <f>$J$7*$I16</f>
        <v>40920</v>
      </c>
      <c r="F60" s="44">
        <f>$J$7*$I17</f>
        <v>40810</v>
      </c>
      <c r="G60" s="44">
        <f>$J$7*$I18</f>
        <v>40700</v>
      </c>
      <c r="H60" s="44">
        <f>$J$7*$I19</f>
        <v>40590</v>
      </c>
      <c r="I60" s="44">
        <f>$J$7*$I20</f>
        <v>40480</v>
      </c>
      <c r="J60" s="44">
        <f>$J$7*$I21</f>
        <v>40370</v>
      </c>
      <c r="K60" s="44">
        <f>$J$7*$I22</f>
        <v>40260</v>
      </c>
      <c r="M60" s="44"/>
      <c r="N60" s="44"/>
      <c r="AL60" s="44"/>
      <c r="AN60" s="68"/>
      <c r="AO60" s="47"/>
      <c r="AP60" s="68"/>
    </row>
    <row r="61" spans="1:43">
      <c r="A61" s="75" t="s">
        <v>55</v>
      </c>
      <c r="B61" s="44">
        <f t="shared" ref="B61:K61" si="22">B58-B59-B60</f>
        <v>-8795.4545454545441</v>
      </c>
      <c r="C61" s="44">
        <f t="shared" si="22"/>
        <v>-7425.4545454545441</v>
      </c>
      <c r="D61" s="44">
        <f t="shared" si="22"/>
        <v>-6030.254545454547</v>
      </c>
      <c r="E61" s="44">
        <f t="shared" si="22"/>
        <v>-4609.350545454552</v>
      </c>
      <c r="F61" s="44">
        <f t="shared" si="22"/>
        <v>-3162.228465454551</v>
      </c>
      <c r="G61" s="44">
        <f t="shared" si="22"/>
        <v>-1688.3639438545506</v>
      </c>
      <c r="H61" s="44">
        <f t="shared" si="22"/>
        <v>-187.22213182254927</v>
      </c>
      <c r="I61" s="44">
        <f t="shared" si="22"/>
        <v>1341.7425164500892</v>
      </c>
      <c r="J61" s="44">
        <f t="shared" si="22"/>
        <v>2899.0864576881868</v>
      </c>
      <c r="K61" s="44">
        <f t="shared" si="22"/>
        <v>4485.3772777510458</v>
      </c>
      <c r="L61" s="65" t="s">
        <v>26</v>
      </c>
      <c r="M61" s="44">
        <f>M58-M59</f>
        <v>862046.73344720551</v>
      </c>
      <c r="N61" s="44">
        <f>K61+M61</f>
        <v>866532.1107249565</v>
      </c>
      <c r="AL61" s="44"/>
      <c r="AN61" s="68"/>
      <c r="AO61" s="47"/>
      <c r="AP61" s="68"/>
    </row>
    <row r="62" spans="1:43">
      <c r="A62" s="75" t="s">
        <v>27</v>
      </c>
      <c r="B62" s="44">
        <f t="shared" ref="B62:K62" si="23">$C$8*B61</f>
        <v>-3078.4090909090901</v>
      </c>
      <c r="C62" s="44">
        <f t="shared" si="23"/>
        <v>-2598.9090909090901</v>
      </c>
      <c r="D62" s="44">
        <f t="shared" si="23"/>
        <v>-2110.5890909090913</v>
      </c>
      <c r="E62" s="44">
        <f t="shared" si="23"/>
        <v>-1613.2726909090932</v>
      </c>
      <c r="F62" s="44">
        <f t="shared" si="23"/>
        <v>-1106.7799629090928</v>
      </c>
      <c r="G62" s="44">
        <f t="shared" si="23"/>
        <v>-590.92738034909269</v>
      </c>
      <c r="H62" s="44">
        <f t="shared" si="23"/>
        <v>-65.527746137892237</v>
      </c>
      <c r="I62" s="44">
        <f t="shared" si="23"/>
        <v>469.60988075753119</v>
      </c>
      <c r="J62" s="44">
        <f t="shared" si="23"/>
        <v>1014.6802601908653</v>
      </c>
      <c r="K62" s="44">
        <f t="shared" si="23"/>
        <v>1569.8820472128659</v>
      </c>
      <c r="L62" s="65" t="s">
        <v>28</v>
      </c>
      <c r="M62" s="44">
        <f>M35</f>
        <v>159852.46456253534</v>
      </c>
      <c r="N62" s="44"/>
      <c r="AL62" s="44"/>
      <c r="AN62" s="47"/>
      <c r="AO62" s="47"/>
    </row>
    <row r="63" spans="1:43">
      <c r="A63" s="75" t="s">
        <v>56</v>
      </c>
      <c r="B63" s="44">
        <f t="shared" ref="B63:K63" si="24">B61-B62</f>
        <v>-5717.045454545454</v>
      </c>
      <c r="C63" s="44">
        <f t="shared" si="24"/>
        <v>-4826.545454545454</v>
      </c>
      <c r="D63" s="44">
        <f t="shared" si="24"/>
        <v>-3919.6654545454558</v>
      </c>
      <c r="E63" s="44">
        <f t="shared" si="24"/>
        <v>-2996.0778545454586</v>
      </c>
      <c r="F63" s="44">
        <f t="shared" si="24"/>
        <v>-2055.4485025454583</v>
      </c>
      <c r="G63" s="44">
        <f t="shared" si="24"/>
        <v>-1097.4365635054578</v>
      </c>
      <c r="H63" s="44">
        <f t="shared" si="24"/>
        <v>-121.69438568465704</v>
      </c>
      <c r="I63" s="44">
        <f t="shared" si="24"/>
        <v>872.13263569255798</v>
      </c>
      <c r="J63" s="44">
        <f t="shared" si="24"/>
        <v>1884.4061974973215</v>
      </c>
      <c r="K63" s="44">
        <f t="shared" si="24"/>
        <v>2915.4952305381798</v>
      </c>
      <c r="L63" s="65" t="s">
        <v>57</v>
      </c>
      <c r="M63" s="44">
        <f>M61-M62</f>
        <v>702194.26888467022</v>
      </c>
      <c r="N63" s="44">
        <f>K63+M63</f>
        <v>705109.76411520841</v>
      </c>
      <c r="AL63" s="44"/>
      <c r="AN63" s="68"/>
      <c r="AO63" s="47"/>
      <c r="AP63" s="68"/>
      <c r="AQ63" s="47"/>
    </row>
    <row r="64" spans="1:43">
      <c r="M64" s="44"/>
      <c r="N64" s="44"/>
      <c r="AL64" s="44"/>
      <c r="AN64" s="68"/>
      <c r="AO64" s="47"/>
      <c r="AP64" s="68"/>
    </row>
    <row r="65" spans="1:42">
      <c r="A65" s="43" t="s">
        <v>31</v>
      </c>
      <c r="M65" s="44"/>
      <c r="N65" s="44"/>
      <c r="AL65" s="44"/>
      <c r="AN65" s="68"/>
      <c r="AO65" s="47"/>
      <c r="AP65" s="68"/>
    </row>
    <row r="66" spans="1:42">
      <c r="A66" s="75" t="s">
        <v>58</v>
      </c>
      <c r="B66" s="44">
        <f t="shared" ref="B66:K66" si="25">B39</f>
        <v>0</v>
      </c>
      <c r="C66" s="44">
        <f t="shared" si="25"/>
        <v>0</v>
      </c>
      <c r="D66" s="44">
        <f t="shared" si="25"/>
        <v>50000</v>
      </c>
      <c r="E66" s="44">
        <f t="shared" si="25"/>
        <v>0</v>
      </c>
      <c r="F66" s="44">
        <f t="shared" si="25"/>
        <v>0</v>
      </c>
      <c r="G66" s="44">
        <f t="shared" si="25"/>
        <v>0</v>
      </c>
      <c r="H66" s="44">
        <f t="shared" si="25"/>
        <v>0</v>
      </c>
      <c r="I66" s="44">
        <f t="shared" si="25"/>
        <v>50000</v>
      </c>
      <c r="J66" s="44">
        <f t="shared" si="25"/>
        <v>0</v>
      </c>
      <c r="K66" s="44">
        <f t="shared" si="25"/>
        <v>0</v>
      </c>
      <c r="M66" s="44"/>
      <c r="N66" s="44"/>
      <c r="AL66" s="44"/>
      <c r="AN66" s="68"/>
      <c r="AO66" s="47"/>
      <c r="AP66" s="68"/>
    </row>
    <row r="67" spans="1:42">
      <c r="A67" s="75" t="s">
        <v>59</v>
      </c>
      <c r="B67" s="44">
        <f t="shared" ref="B67:K67" si="26">B59</f>
        <v>30545.454545454544</v>
      </c>
      <c r="C67" s="44">
        <f t="shared" si="26"/>
        <v>30545.454545454544</v>
      </c>
      <c r="D67" s="44">
        <f t="shared" si="26"/>
        <v>30545.454545454544</v>
      </c>
      <c r="E67" s="44">
        <f t="shared" si="26"/>
        <v>30545.454545454544</v>
      </c>
      <c r="F67" s="44">
        <f t="shared" si="26"/>
        <v>30545.454545454544</v>
      </c>
      <c r="G67" s="44">
        <f t="shared" si="26"/>
        <v>30545.454545454544</v>
      </c>
      <c r="H67" s="44">
        <f t="shared" si="26"/>
        <v>30545.454545454544</v>
      </c>
      <c r="I67" s="44">
        <f t="shared" si="26"/>
        <v>30545.454545454544</v>
      </c>
      <c r="J67" s="44">
        <f t="shared" si="26"/>
        <v>30545.454545454544</v>
      </c>
      <c r="K67" s="44">
        <f t="shared" si="26"/>
        <v>30545.454545454544</v>
      </c>
      <c r="L67" s="65" t="s">
        <v>34</v>
      </c>
      <c r="M67" s="44">
        <f>M59</f>
        <v>844545.45454545459</v>
      </c>
      <c r="N67" s="44"/>
      <c r="AL67" s="44"/>
      <c r="AN67" s="47"/>
      <c r="AO67" s="47"/>
      <c r="AP67" s="68"/>
    </row>
    <row r="68" spans="1:42">
      <c r="A68" s="75" t="s">
        <v>60</v>
      </c>
      <c r="B68" s="44">
        <f t="shared" ref="B68:K68" si="27">$J$8</f>
        <v>2000</v>
      </c>
      <c r="C68" s="44">
        <f t="shared" si="27"/>
        <v>2000</v>
      </c>
      <c r="D68" s="44">
        <f t="shared" si="27"/>
        <v>2000</v>
      </c>
      <c r="E68" s="44">
        <f t="shared" si="27"/>
        <v>2000</v>
      </c>
      <c r="F68" s="44">
        <f t="shared" si="27"/>
        <v>2000</v>
      </c>
      <c r="G68" s="44">
        <f t="shared" si="27"/>
        <v>2000</v>
      </c>
      <c r="H68" s="44">
        <f t="shared" si="27"/>
        <v>2000</v>
      </c>
      <c r="I68" s="44">
        <f t="shared" si="27"/>
        <v>2000</v>
      </c>
      <c r="J68" s="44">
        <f t="shared" si="27"/>
        <v>2000</v>
      </c>
      <c r="K68" s="44">
        <f t="shared" si="27"/>
        <v>2000</v>
      </c>
      <c r="L68" s="65" t="s">
        <v>61</v>
      </c>
      <c r="M68" s="44">
        <f>J6-SUM(B68:K68)</f>
        <v>730000</v>
      </c>
      <c r="N68" s="44"/>
      <c r="AL68" s="44"/>
      <c r="AN68" s="47"/>
      <c r="AO68" s="47"/>
    </row>
    <row r="69" spans="1:42">
      <c r="A69" s="75" t="s">
        <v>62</v>
      </c>
      <c r="B69" s="44">
        <f t="shared" ref="B69:K69" si="28">B63-B66+B67-B68</f>
        <v>22828.409090909088</v>
      </c>
      <c r="C69" s="44">
        <f t="shared" si="28"/>
        <v>23718.909090909088</v>
      </c>
      <c r="D69" s="44">
        <f t="shared" si="28"/>
        <v>-25374.210909090914</v>
      </c>
      <c r="E69" s="44">
        <f t="shared" si="28"/>
        <v>25549.376690909085</v>
      </c>
      <c r="F69" s="44">
        <f t="shared" si="28"/>
        <v>26490.006042909084</v>
      </c>
      <c r="G69" s="44">
        <f t="shared" si="28"/>
        <v>27448.017981949088</v>
      </c>
      <c r="H69" s="44">
        <f t="shared" si="28"/>
        <v>28423.760159769889</v>
      </c>
      <c r="I69" s="44">
        <f t="shared" si="28"/>
        <v>-20582.412818852899</v>
      </c>
      <c r="J69" s="44">
        <f t="shared" si="28"/>
        <v>30429.860742951867</v>
      </c>
      <c r="K69" s="44">
        <f t="shared" si="28"/>
        <v>31460.949775992725</v>
      </c>
      <c r="L69" s="65" t="s">
        <v>62</v>
      </c>
      <c r="M69" s="44">
        <f>M63+M67-M68</f>
        <v>816739.72343012481</v>
      </c>
      <c r="N69" s="44">
        <f>K69+M69</f>
        <v>848200.67320611759</v>
      </c>
      <c r="AL69" s="44"/>
      <c r="AN69" s="47"/>
      <c r="AO69" s="47"/>
    </row>
    <row r="70" spans="1:42">
      <c r="M70" s="44"/>
      <c r="N70" s="44"/>
      <c r="AL70" s="44"/>
      <c r="AN70" s="47"/>
      <c r="AO70" s="47"/>
    </row>
    <row r="71" spans="1:42">
      <c r="A71" s="75" t="s">
        <v>37</v>
      </c>
      <c r="B71" s="44">
        <f t="shared" ref="B71:K71" si="29">B62</f>
        <v>-3078.4090909090901</v>
      </c>
      <c r="C71" s="44">
        <f t="shared" si="29"/>
        <v>-2598.9090909090901</v>
      </c>
      <c r="D71" s="44">
        <f t="shared" si="29"/>
        <v>-2110.5890909090913</v>
      </c>
      <c r="E71" s="44">
        <f t="shared" si="29"/>
        <v>-1613.2726909090932</v>
      </c>
      <c r="F71" s="44">
        <f t="shared" si="29"/>
        <v>-1106.7799629090928</v>
      </c>
      <c r="G71" s="44">
        <f t="shared" si="29"/>
        <v>-590.92738034909269</v>
      </c>
      <c r="H71" s="44">
        <f t="shared" si="29"/>
        <v>-65.527746137892237</v>
      </c>
      <c r="I71" s="44">
        <f t="shared" si="29"/>
        <v>469.60988075753119</v>
      </c>
      <c r="J71" s="44">
        <f t="shared" si="29"/>
        <v>1014.6802601908653</v>
      </c>
      <c r="K71" s="44">
        <f t="shared" si="29"/>
        <v>1569.8820472128659</v>
      </c>
      <c r="L71" s="65" t="s">
        <v>38</v>
      </c>
      <c r="M71" s="44">
        <f>M62</f>
        <v>159852.46456253534</v>
      </c>
      <c r="N71" s="44"/>
      <c r="AL71" s="44"/>
      <c r="AN71" s="47"/>
      <c r="AO71" s="47"/>
    </row>
    <row r="72" spans="1:42">
      <c r="A72" s="75" t="s">
        <v>63</v>
      </c>
      <c r="B72" s="44">
        <f t="shared" ref="B72:K72" si="30">B69+B71</f>
        <v>19750</v>
      </c>
      <c r="C72" s="44">
        <f t="shared" si="30"/>
        <v>21120</v>
      </c>
      <c r="D72" s="44">
        <f t="shared" si="30"/>
        <v>-27484.800000000007</v>
      </c>
      <c r="E72" s="44">
        <f t="shared" si="30"/>
        <v>23936.103999999992</v>
      </c>
      <c r="F72" s="44">
        <f t="shared" si="30"/>
        <v>25383.226079999993</v>
      </c>
      <c r="G72" s="44">
        <f t="shared" si="30"/>
        <v>26857.090601599994</v>
      </c>
      <c r="H72" s="44">
        <f t="shared" si="30"/>
        <v>28358.232413631995</v>
      </c>
      <c r="I72" s="44">
        <f t="shared" si="30"/>
        <v>-20112.802938095367</v>
      </c>
      <c r="J72" s="44">
        <f t="shared" si="30"/>
        <v>31444.541003142731</v>
      </c>
      <c r="K72" s="44">
        <f t="shared" si="30"/>
        <v>33030.83182320559</v>
      </c>
      <c r="L72" s="65" t="s">
        <v>63</v>
      </c>
      <c r="M72" s="44">
        <f>M69+M71</f>
        <v>976592.1879926601</v>
      </c>
      <c r="N72" s="44">
        <f>K72+M72</f>
        <v>1009623.0198158657</v>
      </c>
      <c r="AL72" s="44"/>
      <c r="AN72" s="47"/>
      <c r="AO72" s="47"/>
    </row>
    <row r="73" spans="1:42">
      <c r="M73" s="44"/>
      <c r="N73" s="44"/>
      <c r="AL73" s="44"/>
      <c r="AN73" s="47"/>
      <c r="AO73" s="47"/>
    </row>
    <row r="74" spans="1:42">
      <c r="A74" s="43" t="s">
        <v>51</v>
      </c>
      <c r="B74" s="44" t="s">
        <v>51</v>
      </c>
      <c r="C74" s="44" t="s">
        <v>51</v>
      </c>
      <c r="D74" s="44" t="s">
        <v>51</v>
      </c>
      <c r="E74" s="44" t="s">
        <v>51</v>
      </c>
      <c r="F74" s="44" t="s">
        <v>51</v>
      </c>
      <c r="G74" s="44" t="s">
        <v>51</v>
      </c>
      <c r="H74" s="44" t="s">
        <v>51</v>
      </c>
      <c r="I74" s="44" t="s">
        <v>51</v>
      </c>
      <c r="J74" s="44" t="s">
        <v>51</v>
      </c>
      <c r="K74" s="44" t="s">
        <v>51</v>
      </c>
      <c r="L74" s="44" t="s">
        <v>51</v>
      </c>
      <c r="M74" s="44" t="s">
        <v>51</v>
      </c>
      <c r="N74" s="44" t="s">
        <v>51</v>
      </c>
      <c r="O74" s="44"/>
      <c r="P74" s="44"/>
      <c r="Q74" s="44"/>
      <c r="R74" s="44"/>
      <c r="S74" s="44"/>
    </row>
    <row r="75" spans="1:42">
      <c r="A75" s="44" t="s">
        <v>64</v>
      </c>
      <c r="H75" s="43"/>
    </row>
    <row r="76" spans="1:42">
      <c r="B76" s="71" t="s">
        <v>99</v>
      </c>
      <c r="K76" s="65" t="s">
        <v>15</v>
      </c>
      <c r="L76" s="65" t="s">
        <v>16</v>
      </c>
      <c r="M76" s="75" t="s">
        <v>17</v>
      </c>
      <c r="N76" s="75" t="s">
        <v>107</v>
      </c>
    </row>
    <row r="77" spans="1:42">
      <c r="A77" s="43" t="s">
        <v>18</v>
      </c>
      <c r="B77" s="86">
        <v>1</v>
      </c>
      <c r="C77" s="86">
        <v>2</v>
      </c>
      <c r="D77" s="86">
        <v>3</v>
      </c>
      <c r="E77" s="86">
        <v>4</v>
      </c>
      <c r="F77" s="86">
        <v>5</v>
      </c>
      <c r="G77" s="86">
        <v>6</v>
      </c>
      <c r="H77" s="86">
        <v>7</v>
      </c>
      <c r="I77" s="86">
        <v>8</v>
      </c>
      <c r="J77" s="86">
        <v>9</v>
      </c>
      <c r="K77" s="65" t="s">
        <v>19</v>
      </c>
      <c r="L77" s="65" t="s">
        <v>20</v>
      </c>
      <c r="M77" s="75" t="s">
        <v>19</v>
      </c>
      <c r="N77" s="75" t="s">
        <v>19</v>
      </c>
    </row>
    <row r="78" spans="1:42">
      <c r="A78" s="43" t="s">
        <v>21</v>
      </c>
      <c r="M78" s="44"/>
      <c r="N78" s="44"/>
    </row>
    <row r="79" spans="1:42">
      <c r="A79" s="75" t="s">
        <v>118</v>
      </c>
      <c r="B79" s="44">
        <f t="shared" ref="B79:K79" si="31">B58</f>
        <v>63000</v>
      </c>
      <c r="C79" s="44">
        <f t="shared" si="31"/>
        <v>64260</v>
      </c>
      <c r="D79" s="44">
        <f t="shared" si="31"/>
        <v>65545.2</v>
      </c>
      <c r="E79" s="44">
        <f t="shared" si="31"/>
        <v>66856.103999999992</v>
      </c>
      <c r="F79" s="44">
        <f t="shared" si="31"/>
        <v>68193.226079999993</v>
      </c>
      <c r="G79" s="44">
        <f t="shared" si="31"/>
        <v>69557.090601599994</v>
      </c>
      <c r="H79" s="44">
        <f t="shared" si="31"/>
        <v>70948.232413631995</v>
      </c>
      <c r="I79" s="44">
        <f t="shared" si="31"/>
        <v>72367.197061904633</v>
      </c>
      <c r="J79" s="44">
        <f t="shared" si="31"/>
        <v>73814.541003142731</v>
      </c>
      <c r="K79" s="44">
        <f t="shared" si="31"/>
        <v>75290.83182320559</v>
      </c>
      <c r="L79" s="65" t="s">
        <v>22</v>
      </c>
      <c r="M79" s="44">
        <f>M58</f>
        <v>1706592.1879926601</v>
      </c>
      <c r="N79" s="44"/>
    </row>
    <row r="80" spans="1:42">
      <c r="A80" s="75" t="s">
        <v>58</v>
      </c>
      <c r="B80" s="44">
        <f t="shared" ref="B80:K80" si="32">B66</f>
        <v>0</v>
      </c>
      <c r="C80" s="44">
        <f t="shared" si="32"/>
        <v>0</v>
      </c>
      <c r="D80" s="44">
        <f t="shared" si="32"/>
        <v>50000</v>
      </c>
      <c r="E80" s="44">
        <f t="shared" si="32"/>
        <v>0</v>
      </c>
      <c r="F80" s="44">
        <f t="shared" si="32"/>
        <v>0</v>
      </c>
      <c r="G80" s="44">
        <f t="shared" si="32"/>
        <v>0</v>
      </c>
      <c r="H80" s="44">
        <f t="shared" si="32"/>
        <v>0</v>
      </c>
      <c r="I80" s="44">
        <f t="shared" si="32"/>
        <v>50000</v>
      </c>
      <c r="J80" s="44">
        <f t="shared" si="32"/>
        <v>0</v>
      </c>
      <c r="K80" s="44">
        <f t="shared" si="32"/>
        <v>0</v>
      </c>
      <c r="M80" s="44"/>
      <c r="N80" s="44"/>
    </row>
    <row r="81" spans="1:256">
      <c r="A81" s="75" t="s">
        <v>39</v>
      </c>
      <c r="B81" s="44">
        <f t="shared" ref="B81:K81" si="33">B79-B80</f>
        <v>63000</v>
      </c>
      <c r="C81" s="44">
        <f t="shared" si="33"/>
        <v>64260</v>
      </c>
      <c r="D81" s="44">
        <f t="shared" si="33"/>
        <v>15545.199999999997</v>
      </c>
      <c r="E81" s="44">
        <f t="shared" si="33"/>
        <v>66856.103999999992</v>
      </c>
      <c r="F81" s="44">
        <f t="shared" si="33"/>
        <v>68193.226079999993</v>
      </c>
      <c r="G81" s="44">
        <f t="shared" si="33"/>
        <v>69557.090601599994</v>
      </c>
      <c r="H81" s="44">
        <f t="shared" si="33"/>
        <v>70948.232413631995</v>
      </c>
      <c r="I81" s="44">
        <f t="shared" si="33"/>
        <v>22367.197061904633</v>
      </c>
      <c r="J81" s="44">
        <f t="shared" si="33"/>
        <v>73814.541003142731</v>
      </c>
      <c r="K81" s="44">
        <f t="shared" si="33"/>
        <v>75290.83182320559</v>
      </c>
      <c r="L81" s="65" t="s">
        <v>39</v>
      </c>
      <c r="M81" s="44">
        <f>M79</f>
        <v>1706592.1879926601</v>
      </c>
      <c r="N81" s="44">
        <f>K81+M81</f>
        <v>1781883.0198158657</v>
      </c>
    </row>
    <row r="82" spans="1:256">
      <c r="A82" s="87" t="s">
        <v>65</v>
      </c>
      <c r="B82" s="44">
        <f t="shared" ref="B82:K82" si="34">B60+B68</f>
        <v>43250</v>
      </c>
      <c r="C82" s="44">
        <f t="shared" si="34"/>
        <v>43140</v>
      </c>
      <c r="D82" s="44">
        <f t="shared" si="34"/>
        <v>43030</v>
      </c>
      <c r="E82" s="44">
        <f t="shared" si="34"/>
        <v>42920</v>
      </c>
      <c r="F82" s="44">
        <f t="shared" si="34"/>
        <v>42810</v>
      </c>
      <c r="G82" s="44">
        <f t="shared" si="34"/>
        <v>42700</v>
      </c>
      <c r="H82" s="44">
        <f t="shared" si="34"/>
        <v>42590</v>
      </c>
      <c r="I82" s="44">
        <f t="shared" si="34"/>
        <v>42480</v>
      </c>
      <c r="J82" s="44">
        <f t="shared" si="34"/>
        <v>42370</v>
      </c>
      <c r="K82" s="44">
        <f t="shared" si="34"/>
        <v>42260</v>
      </c>
      <c r="L82" s="65" t="s">
        <v>66</v>
      </c>
      <c r="M82" s="44">
        <f>I23</f>
        <v>730000</v>
      </c>
      <c r="N82" s="44"/>
    </row>
    <row r="83" spans="1:256">
      <c r="A83" s="75" t="s">
        <v>63</v>
      </c>
      <c r="B83" s="44">
        <f t="shared" ref="B83:K83" si="35">B81-B82</f>
        <v>19750</v>
      </c>
      <c r="C83" s="44">
        <f t="shared" si="35"/>
        <v>21120</v>
      </c>
      <c r="D83" s="44">
        <f t="shared" si="35"/>
        <v>-27484.800000000003</v>
      </c>
      <c r="E83" s="44">
        <f t="shared" si="35"/>
        <v>23936.103999999992</v>
      </c>
      <c r="F83" s="44">
        <f t="shared" si="35"/>
        <v>25383.226079999993</v>
      </c>
      <c r="G83" s="44">
        <f t="shared" si="35"/>
        <v>26857.090601599994</v>
      </c>
      <c r="H83" s="44">
        <f t="shared" si="35"/>
        <v>28358.232413631995</v>
      </c>
      <c r="I83" s="44">
        <f t="shared" si="35"/>
        <v>-20112.802938095367</v>
      </c>
      <c r="J83" s="44">
        <f t="shared" si="35"/>
        <v>31444.541003142731</v>
      </c>
      <c r="K83" s="44">
        <f t="shared" si="35"/>
        <v>33030.83182320559</v>
      </c>
      <c r="L83" s="65" t="s">
        <v>63</v>
      </c>
      <c r="M83" s="44">
        <f>M81-M82</f>
        <v>976592.1879926601</v>
      </c>
      <c r="N83" s="44">
        <f>K83+M83</f>
        <v>1009623.0198158657</v>
      </c>
    </row>
    <row r="84" spans="1:256">
      <c r="A84" s="65" t="s">
        <v>67</v>
      </c>
      <c r="B84" s="44">
        <f t="shared" ref="B84:K84" si="36">$C$8*B79</f>
        <v>22050</v>
      </c>
      <c r="C84" s="44">
        <f t="shared" si="36"/>
        <v>22491</v>
      </c>
      <c r="D84" s="44">
        <f t="shared" si="36"/>
        <v>22940.819999999996</v>
      </c>
      <c r="E84" s="44">
        <f t="shared" si="36"/>
        <v>23399.636399999996</v>
      </c>
      <c r="F84" s="44">
        <f t="shared" si="36"/>
        <v>23867.629127999997</v>
      </c>
      <c r="G84" s="44">
        <f t="shared" si="36"/>
        <v>24344.981710559998</v>
      </c>
      <c r="H84" s="44">
        <f t="shared" si="36"/>
        <v>24831.881344771198</v>
      </c>
      <c r="I84" s="44">
        <f t="shared" si="36"/>
        <v>25328.518971666621</v>
      </c>
      <c r="J84" s="44">
        <f t="shared" si="36"/>
        <v>25835.089351099956</v>
      </c>
      <c r="K84" s="44">
        <f t="shared" si="36"/>
        <v>26351.791138121956</v>
      </c>
      <c r="L84" s="65" t="s">
        <v>68</v>
      </c>
      <c r="M84" s="44">
        <f>G8*(M79-(B13+SUM(B80:K80)))</f>
        <v>83488.828198899006</v>
      </c>
      <c r="N84" s="44">
        <f>K84+M84</f>
        <v>109840.61933702097</v>
      </c>
      <c r="O84" s="44"/>
      <c r="P84" s="44"/>
      <c r="Q84" s="44"/>
      <c r="R84" s="44"/>
      <c r="S84" s="44"/>
      <c r="T84" s="44"/>
      <c r="U84" s="64"/>
      <c r="V84" s="6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c r="IU84" s="44"/>
      <c r="IV84" s="44"/>
    </row>
    <row r="85" spans="1:256">
      <c r="A85" s="75" t="s">
        <v>69</v>
      </c>
      <c r="B85" s="44">
        <f t="shared" ref="B85:K85" si="37">$C$8*B59</f>
        <v>10690.90909090909</v>
      </c>
      <c r="C85" s="44">
        <f t="shared" si="37"/>
        <v>10690.90909090909</v>
      </c>
      <c r="D85" s="44">
        <f t="shared" si="37"/>
        <v>10690.90909090909</v>
      </c>
      <c r="E85" s="44">
        <f t="shared" si="37"/>
        <v>10690.90909090909</v>
      </c>
      <c r="F85" s="44">
        <f t="shared" si="37"/>
        <v>10690.90909090909</v>
      </c>
      <c r="G85" s="44">
        <f t="shared" si="37"/>
        <v>10690.90909090909</v>
      </c>
      <c r="H85" s="44">
        <f t="shared" si="37"/>
        <v>10690.90909090909</v>
      </c>
      <c r="I85" s="44">
        <f t="shared" si="37"/>
        <v>10690.90909090909</v>
      </c>
      <c r="J85" s="44">
        <f t="shared" si="37"/>
        <v>10690.90909090909</v>
      </c>
      <c r="K85" s="44">
        <f t="shared" si="37"/>
        <v>10690.90909090909</v>
      </c>
      <c r="L85" s="65" t="s">
        <v>70</v>
      </c>
      <c r="M85" s="44">
        <f>-G9*SUM(B59:K59)</f>
        <v>-76363.636363636339</v>
      </c>
      <c r="N85" s="44">
        <f>K85+M85</f>
        <v>-65672.72727272725</v>
      </c>
    </row>
    <row r="86" spans="1:256">
      <c r="A86" s="75" t="s">
        <v>71</v>
      </c>
      <c r="B86" s="44">
        <f t="shared" ref="B86:K86" si="38">$C$8*B60</f>
        <v>14437.499999999998</v>
      </c>
      <c r="C86" s="44">
        <f t="shared" si="38"/>
        <v>14398.999999999998</v>
      </c>
      <c r="D86" s="44">
        <f t="shared" si="38"/>
        <v>14360.499999999998</v>
      </c>
      <c r="E86" s="44">
        <f t="shared" si="38"/>
        <v>14322</v>
      </c>
      <c r="F86" s="44">
        <f t="shared" si="38"/>
        <v>14283.5</v>
      </c>
      <c r="G86" s="44">
        <f t="shared" si="38"/>
        <v>14245</v>
      </c>
      <c r="H86" s="44">
        <f t="shared" si="38"/>
        <v>14206.5</v>
      </c>
      <c r="I86" s="44">
        <f t="shared" si="38"/>
        <v>14168</v>
      </c>
      <c r="J86" s="44">
        <f t="shared" si="38"/>
        <v>14129.5</v>
      </c>
      <c r="K86" s="44">
        <f t="shared" si="38"/>
        <v>14091</v>
      </c>
      <c r="M86" s="44"/>
      <c r="N86" s="44">
        <f>K86+M86</f>
        <v>14091</v>
      </c>
    </row>
    <row r="87" spans="1:256">
      <c r="A87" s="75" t="s">
        <v>62</v>
      </c>
      <c r="B87" s="44">
        <f t="shared" ref="B87:K87" si="39">B83-B84+B85+B86</f>
        <v>22828.409090909088</v>
      </c>
      <c r="C87" s="44">
        <f t="shared" si="39"/>
        <v>23718.909090909088</v>
      </c>
      <c r="D87" s="44">
        <f t="shared" si="39"/>
        <v>-25374.210909090907</v>
      </c>
      <c r="E87" s="44">
        <f t="shared" si="39"/>
        <v>25549.376690909085</v>
      </c>
      <c r="F87" s="44">
        <f t="shared" si="39"/>
        <v>26490.006042909088</v>
      </c>
      <c r="G87" s="44">
        <f t="shared" si="39"/>
        <v>27448.017981949088</v>
      </c>
      <c r="H87" s="44">
        <f t="shared" si="39"/>
        <v>28423.760159769889</v>
      </c>
      <c r="I87" s="44">
        <f t="shared" si="39"/>
        <v>-20582.412818852899</v>
      </c>
      <c r="J87" s="44">
        <f t="shared" si="39"/>
        <v>30429.860742951867</v>
      </c>
      <c r="K87" s="44">
        <f t="shared" si="39"/>
        <v>31460.949775992725</v>
      </c>
      <c r="L87" s="75" t="s">
        <v>12</v>
      </c>
      <c r="M87" s="44">
        <f>M83-M84+M85+M86</f>
        <v>816739.72343012469</v>
      </c>
      <c r="N87" s="44">
        <f>K87+M87</f>
        <v>848200.67320611747</v>
      </c>
    </row>
    <row r="8162" spans="2:12">
      <c r="B8162" s="43"/>
      <c r="C8162" s="43"/>
      <c r="D8162" s="43"/>
      <c r="E8162" s="43"/>
      <c r="F8162" s="43"/>
      <c r="G8162" s="43"/>
      <c r="H8162" s="43"/>
      <c r="J8162" s="43"/>
      <c r="K8162" s="43"/>
      <c r="L8162" s="43"/>
    </row>
    <row r="8163" spans="2:12">
      <c r="B8163" s="43"/>
      <c r="C8163" s="43"/>
      <c r="D8163" s="43"/>
      <c r="E8163" s="43"/>
      <c r="F8163" s="43"/>
      <c r="G8163" s="43"/>
      <c r="H8163" s="43"/>
      <c r="J8163" s="43"/>
      <c r="K8163" s="43"/>
      <c r="L8163" s="43"/>
    </row>
    <row r="8164" spans="2:12">
      <c r="B8164" s="43"/>
      <c r="C8164" s="43"/>
      <c r="D8164" s="43"/>
      <c r="E8164" s="43"/>
      <c r="F8164" s="43"/>
      <c r="G8164" s="43"/>
      <c r="H8164" s="43"/>
      <c r="J8164" s="43"/>
      <c r="K8164" s="43"/>
      <c r="L8164" s="43"/>
    </row>
    <row r="8165" spans="2:12">
      <c r="B8165" s="43"/>
      <c r="C8165" s="43"/>
      <c r="D8165" s="43"/>
      <c r="E8165" s="43"/>
      <c r="F8165" s="43"/>
      <c r="G8165" s="43"/>
      <c r="H8165" s="43"/>
      <c r="J8165" s="43"/>
      <c r="K8165" s="43"/>
      <c r="L8165" s="43"/>
    </row>
    <row r="8166" spans="2:12">
      <c r="B8166" s="43"/>
      <c r="C8166" s="43"/>
      <c r="D8166" s="43"/>
      <c r="E8166" s="43"/>
      <c r="F8166" s="43"/>
      <c r="G8166" s="43"/>
      <c r="H8166" s="43"/>
      <c r="J8166" s="43"/>
      <c r="K8166" s="43"/>
      <c r="L8166" s="43"/>
    </row>
    <row r="8167" spans="2:12">
      <c r="B8167" s="43"/>
      <c r="C8167" s="43"/>
      <c r="D8167" s="43"/>
      <c r="E8167" s="43"/>
      <c r="F8167" s="43"/>
      <c r="G8167" s="43"/>
      <c r="H8167" s="43"/>
      <c r="J8167" s="43"/>
      <c r="K8167" s="43"/>
      <c r="L8167" s="43"/>
    </row>
    <row r="8168" spans="2:12">
      <c r="B8168" s="43"/>
      <c r="C8168" s="43"/>
      <c r="D8168" s="43"/>
      <c r="E8168" s="43"/>
      <c r="F8168" s="43"/>
      <c r="G8168" s="43"/>
      <c r="H8168" s="43"/>
      <c r="J8168" s="43"/>
      <c r="K8168" s="43"/>
      <c r="L8168" s="43"/>
    </row>
    <row r="8169" spans="2:12">
      <c r="B8169" s="43"/>
      <c r="C8169" s="43"/>
      <c r="D8169" s="43"/>
      <c r="E8169" s="43"/>
      <c r="F8169" s="43"/>
      <c r="G8169" s="43"/>
      <c r="H8169" s="43"/>
      <c r="J8169" s="43"/>
      <c r="K8169" s="43"/>
      <c r="L8169" s="43"/>
    </row>
    <row r="8170" spans="2:12">
      <c r="B8170" s="43"/>
      <c r="C8170" s="43"/>
      <c r="D8170" s="43"/>
      <c r="E8170" s="43"/>
      <c r="F8170" s="43"/>
      <c r="G8170" s="43"/>
      <c r="H8170" s="43"/>
      <c r="J8170" s="43"/>
      <c r="K8170" s="43"/>
      <c r="L8170" s="43"/>
    </row>
    <row r="8171" spans="2:12">
      <c r="B8171" s="43"/>
      <c r="C8171" s="43"/>
      <c r="D8171" s="43"/>
      <c r="E8171" s="43"/>
      <c r="F8171" s="43"/>
      <c r="G8171" s="43"/>
      <c r="H8171" s="43"/>
      <c r="J8171" s="43"/>
      <c r="K8171" s="43"/>
      <c r="L8171" s="43"/>
    </row>
    <row r="8172" spans="2:12">
      <c r="B8172" s="43"/>
      <c r="C8172" s="43"/>
      <c r="D8172" s="43"/>
      <c r="E8172" s="43"/>
      <c r="F8172" s="43"/>
      <c r="G8172" s="43"/>
      <c r="H8172" s="43"/>
      <c r="J8172" s="43"/>
      <c r="K8172" s="43"/>
      <c r="L8172" s="43"/>
    </row>
    <row r="8173" spans="2:12">
      <c r="B8173" s="43"/>
      <c r="C8173" s="43"/>
      <c r="D8173" s="43"/>
      <c r="E8173" s="43"/>
      <c r="F8173" s="43"/>
      <c r="G8173" s="43"/>
      <c r="H8173" s="43"/>
      <c r="J8173" s="43"/>
      <c r="K8173" s="43"/>
      <c r="L8173" s="43"/>
    </row>
    <row r="8174" spans="2:12">
      <c r="B8174" s="43"/>
      <c r="C8174" s="43"/>
      <c r="D8174" s="43"/>
      <c r="E8174" s="43"/>
      <c r="F8174" s="43"/>
      <c r="G8174" s="43"/>
      <c r="H8174" s="43"/>
      <c r="J8174" s="43"/>
      <c r="K8174" s="43"/>
      <c r="L8174" s="43"/>
    </row>
    <row r="8175" spans="2:12">
      <c r="B8175" s="43"/>
      <c r="C8175" s="43"/>
      <c r="D8175" s="43"/>
      <c r="E8175" s="43"/>
      <c r="F8175" s="43"/>
      <c r="G8175" s="43"/>
      <c r="H8175" s="43"/>
      <c r="J8175" s="43"/>
      <c r="K8175" s="43"/>
      <c r="L8175" s="43"/>
    </row>
    <row r="8176" spans="2:12">
      <c r="B8176" s="43"/>
      <c r="C8176" s="43"/>
      <c r="D8176" s="43"/>
      <c r="E8176" s="43"/>
      <c r="F8176" s="43"/>
      <c r="G8176" s="43"/>
      <c r="H8176" s="43"/>
      <c r="J8176" s="43"/>
      <c r="K8176" s="43"/>
      <c r="L8176" s="43"/>
    </row>
    <row r="8177" spans="2:12">
      <c r="B8177" s="43"/>
      <c r="C8177" s="43"/>
      <c r="D8177" s="43"/>
      <c r="E8177" s="43"/>
      <c r="F8177" s="43"/>
      <c r="G8177" s="43"/>
      <c r="H8177" s="43"/>
      <c r="J8177" s="43"/>
      <c r="K8177" s="43"/>
      <c r="L8177" s="43"/>
    </row>
    <row r="8178" spans="2:12">
      <c r="B8178" s="43"/>
      <c r="C8178" s="43"/>
      <c r="D8178" s="43"/>
      <c r="E8178" s="43"/>
      <c r="F8178" s="43"/>
      <c r="G8178" s="43"/>
      <c r="H8178" s="43"/>
      <c r="J8178" s="43"/>
      <c r="K8178" s="43"/>
      <c r="L8178" s="43"/>
    </row>
    <row r="8179" spans="2:12">
      <c r="B8179" s="43"/>
      <c r="C8179" s="43"/>
      <c r="D8179" s="43"/>
      <c r="E8179" s="43"/>
      <c r="F8179" s="43"/>
      <c r="G8179" s="43"/>
      <c r="H8179" s="43"/>
      <c r="J8179" s="43"/>
      <c r="K8179" s="43"/>
      <c r="L8179" s="43"/>
    </row>
    <row r="8180" spans="2:12">
      <c r="B8180" s="43"/>
      <c r="C8180" s="43"/>
      <c r="D8180" s="43"/>
      <c r="E8180" s="43"/>
      <c r="F8180" s="43"/>
      <c r="G8180" s="43"/>
      <c r="H8180" s="43"/>
      <c r="J8180" s="43"/>
      <c r="K8180" s="43"/>
      <c r="L8180" s="43"/>
    </row>
    <row r="8181" spans="2:12">
      <c r="B8181" s="43"/>
      <c r="C8181" s="43"/>
      <c r="D8181" s="43"/>
      <c r="E8181" s="43"/>
      <c r="F8181" s="43"/>
      <c r="G8181" s="43"/>
      <c r="H8181" s="43"/>
      <c r="J8181" s="43"/>
      <c r="K8181" s="43"/>
      <c r="L8181" s="43"/>
    </row>
    <row r="8182" spans="2:12">
      <c r="B8182" s="43"/>
      <c r="C8182" s="43"/>
      <c r="D8182" s="43"/>
      <c r="E8182" s="43"/>
      <c r="F8182" s="43"/>
      <c r="G8182" s="43"/>
      <c r="H8182" s="43"/>
      <c r="J8182" s="43"/>
      <c r="K8182" s="43"/>
      <c r="L8182" s="43"/>
    </row>
    <row r="8183" spans="2:12">
      <c r="B8183" s="43"/>
      <c r="C8183" s="43"/>
      <c r="D8183" s="43"/>
      <c r="E8183" s="43"/>
      <c r="F8183" s="43"/>
      <c r="G8183" s="43"/>
      <c r="H8183" s="43"/>
      <c r="J8183" s="43"/>
      <c r="K8183" s="43"/>
      <c r="L8183" s="43"/>
    </row>
    <row r="8184" spans="2:12">
      <c r="B8184" s="43"/>
      <c r="C8184" s="43"/>
      <c r="D8184" s="43"/>
      <c r="E8184" s="43"/>
      <c r="F8184" s="43"/>
      <c r="G8184" s="43"/>
      <c r="H8184" s="43"/>
      <c r="J8184" s="43"/>
      <c r="K8184" s="43"/>
      <c r="L8184" s="43"/>
    </row>
    <row r="8185" spans="2:12">
      <c r="B8185" s="43"/>
      <c r="C8185" s="43"/>
      <c r="D8185" s="43"/>
      <c r="E8185" s="43"/>
      <c r="F8185" s="43"/>
      <c r="G8185" s="43"/>
      <c r="H8185" s="43"/>
      <c r="J8185" s="43"/>
      <c r="K8185" s="43"/>
      <c r="L8185" s="43"/>
    </row>
    <row r="8186" spans="2:12">
      <c r="B8186" s="43"/>
      <c r="C8186" s="43"/>
      <c r="D8186" s="43"/>
      <c r="E8186" s="43"/>
      <c r="F8186" s="43"/>
      <c r="G8186" s="43"/>
      <c r="H8186" s="43"/>
      <c r="J8186" s="43"/>
      <c r="K8186" s="43"/>
      <c r="L8186" s="43"/>
    </row>
    <row r="8187" spans="2:12">
      <c r="B8187" s="43"/>
      <c r="C8187" s="43"/>
      <c r="D8187" s="43"/>
      <c r="E8187" s="43"/>
      <c r="F8187" s="43"/>
      <c r="G8187" s="43"/>
      <c r="H8187" s="43"/>
      <c r="J8187" s="43"/>
      <c r="K8187" s="43"/>
      <c r="L8187" s="43"/>
    </row>
    <row r="8188" spans="2:12">
      <c r="B8188" s="43"/>
      <c r="C8188" s="43"/>
      <c r="D8188" s="43"/>
      <c r="E8188" s="43"/>
      <c r="F8188" s="43"/>
      <c r="G8188" s="43"/>
      <c r="H8188" s="43"/>
      <c r="J8188" s="43"/>
      <c r="K8188" s="43"/>
      <c r="L8188" s="43"/>
    </row>
    <row r="8189" spans="2:12">
      <c r="B8189" s="43"/>
      <c r="C8189" s="43"/>
      <c r="D8189" s="43"/>
      <c r="E8189" s="43"/>
      <c r="F8189" s="43"/>
      <c r="G8189" s="43"/>
      <c r="H8189" s="43"/>
      <c r="J8189" s="43"/>
      <c r="K8189" s="43"/>
      <c r="L8189" s="43"/>
    </row>
    <row r="8190" spans="2:12">
      <c r="B8190" s="43"/>
      <c r="C8190" s="43"/>
      <c r="D8190" s="43"/>
      <c r="E8190" s="43"/>
      <c r="F8190" s="43"/>
      <c r="G8190" s="43"/>
      <c r="H8190" s="43"/>
      <c r="J8190" s="43"/>
      <c r="K8190" s="43"/>
      <c r="L8190" s="43"/>
    </row>
    <row r="8191" spans="2:12">
      <c r="B8191" s="43"/>
      <c r="C8191" s="43"/>
      <c r="D8191" s="43"/>
      <c r="E8191" s="43"/>
      <c r="F8191" s="43"/>
      <c r="G8191" s="43"/>
      <c r="H8191" s="43"/>
      <c r="J8191" s="43"/>
      <c r="K8191" s="43"/>
      <c r="L8191" s="43"/>
    </row>
    <row r="8192" spans="2:12">
      <c r="B8192" s="43"/>
      <c r="C8192" s="43"/>
      <c r="D8192" s="43"/>
      <c r="E8192" s="43"/>
      <c r="F8192" s="43"/>
      <c r="G8192" s="43"/>
      <c r="H8192" s="43"/>
      <c r="J8192" s="43"/>
      <c r="K8192" s="43"/>
      <c r="L8192" s="43"/>
    </row>
    <row r="8193" spans="2:12">
      <c r="B8193" s="43"/>
      <c r="C8193" s="43"/>
      <c r="D8193" s="43"/>
      <c r="E8193" s="43"/>
      <c r="F8193" s="43"/>
      <c r="G8193" s="43"/>
      <c r="H8193" s="43"/>
      <c r="J8193" s="43"/>
      <c r="K8193" s="43"/>
      <c r="L8193" s="43"/>
    </row>
  </sheetData>
  <phoneticPr fontId="10" type="noConversion"/>
  <pageMargins left="0.5" right="0.5" top="0.5" bottom="0.55000000000000004" header="0.5" footer="0.5"/>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6"/>
  <sheetViews>
    <sheetView zoomScaleNormal="100" workbookViewId="0"/>
  </sheetViews>
  <sheetFormatPr defaultRowHeight="13.2"/>
  <cols>
    <col min="1" max="1" width="39.109375" customWidth="1"/>
    <col min="2" max="2" width="10.88671875" bestFit="1" customWidth="1"/>
    <col min="3" max="3" width="10.33203125" style="15" bestFit="1" customWidth="1"/>
    <col min="4" max="4" width="10.109375" bestFit="1" customWidth="1"/>
    <col min="5" max="5" width="10.33203125" bestFit="1" customWidth="1"/>
    <col min="6" max="6" width="8.6640625" bestFit="1" customWidth="1"/>
    <col min="7" max="7" width="8.109375" bestFit="1" customWidth="1"/>
    <col min="8" max="8" width="9.6640625" bestFit="1" customWidth="1"/>
    <col min="9" max="13" width="8.109375" bestFit="1" customWidth="1"/>
    <col min="14" max="14" width="11" customWidth="1"/>
    <col min="15" max="15" width="10.5546875" customWidth="1"/>
    <col min="16" max="17" width="8.109375" bestFit="1" customWidth="1"/>
    <col min="19" max="19" width="2.6640625" customWidth="1"/>
  </cols>
  <sheetData>
    <row r="1" spans="1:19">
      <c r="A1" s="18" t="s">
        <v>193</v>
      </c>
      <c r="B1" s="20" t="s">
        <v>75</v>
      </c>
      <c r="C1" s="32"/>
      <c r="D1" s="20"/>
      <c r="E1" s="20"/>
      <c r="F1" s="20"/>
      <c r="G1" s="20"/>
      <c r="H1" s="20"/>
      <c r="I1" s="20"/>
      <c r="J1" s="20"/>
      <c r="K1" s="20"/>
      <c r="L1" s="20"/>
      <c r="M1" s="20"/>
      <c r="N1" s="20"/>
      <c r="O1" s="20"/>
      <c r="P1" s="20"/>
      <c r="Q1" s="1"/>
      <c r="R1" s="1"/>
      <c r="S1" s="2"/>
    </row>
    <row r="2" spans="1:19">
      <c r="A2" s="36" t="s">
        <v>121</v>
      </c>
      <c r="B2" s="37">
        <f>'MarglInvestrAPVvaluationEx14-6'!J7</f>
        <v>5.5E-2</v>
      </c>
      <c r="C2" s="41"/>
      <c r="D2" s="21"/>
      <c r="E2" s="21"/>
      <c r="F2" s="21"/>
      <c r="G2" s="21"/>
      <c r="H2" s="21"/>
      <c r="I2" s="21"/>
      <c r="J2" s="21"/>
      <c r="K2" s="21"/>
      <c r="L2" s="21"/>
      <c r="M2" s="21"/>
      <c r="N2" s="21"/>
      <c r="O2" s="21"/>
      <c r="P2" s="21"/>
      <c r="Q2" s="4"/>
      <c r="R2" s="4"/>
      <c r="S2" s="5"/>
    </row>
    <row r="3" spans="1:19">
      <c r="A3" s="36" t="s">
        <v>89</v>
      </c>
      <c r="B3" s="38">
        <f>'Splits Analysis Expected'!B3</f>
        <v>0.9</v>
      </c>
      <c r="C3" s="41"/>
      <c r="D3" s="42"/>
      <c r="E3" s="21"/>
      <c r="F3" s="21"/>
      <c r="G3" s="21"/>
      <c r="H3" s="21"/>
      <c r="I3" s="21"/>
      <c r="J3" s="21"/>
      <c r="K3" s="21"/>
      <c r="L3" s="21"/>
      <c r="M3" s="21"/>
      <c r="N3" s="21"/>
      <c r="O3" s="21"/>
      <c r="P3" s="21"/>
      <c r="Q3" s="4"/>
      <c r="R3" s="4"/>
      <c r="S3" s="5"/>
    </row>
    <row r="4" spans="1:19">
      <c r="A4" s="36" t="s">
        <v>90</v>
      </c>
      <c r="B4" s="38">
        <f>'Splits Analysis Expected'!B4</f>
        <v>0.06</v>
      </c>
      <c r="C4" s="41"/>
      <c r="D4" s="21"/>
      <c r="E4" s="21"/>
      <c r="F4" s="21"/>
      <c r="G4" s="21"/>
      <c r="H4" s="21"/>
      <c r="I4" s="21"/>
      <c r="J4" s="21"/>
      <c r="K4" s="21"/>
      <c r="L4" s="21"/>
      <c r="M4" s="21"/>
      <c r="N4" s="21"/>
      <c r="O4" s="21"/>
      <c r="P4" s="21"/>
      <c r="Q4" s="4"/>
      <c r="R4" s="4"/>
      <c r="S4" s="5"/>
    </row>
    <row r="5" spans="1:19">
      <c r="A5" s="36" t="s">
        <v>91</v>
      </c>
      <c r="B5" s="38">
        <f>'Splits Analysis Expected'!B5</f>
        <v>0.5</v>
      </c>
      <c r="C5" s="41"/>
      <c r="D5" s="21"/>
      <c r="E5" s="21"/>
      <c r="F5" s="21"/>
      <c r="G5" s="21"/>
      <c r="H5" s="21"/>
      <c r="I5" s="21"/>
      <c r="J5" s="21"/>
      <c r="K5" s="21"/>
      <c r="L5" s="21"/>
      <c r="M5" s="21"/>
      <c r="N5" s="21"/>
      <c r="O5" s="21"/>
      <c r="P5" s="21"/>
      <c r="Q5" s="4"/>
      <c r="R5" s="4"/>
      <c r="S5" s="5"/>
    </row>
    <row r="6" spans="1:19">
      <c r="A6" s="13" t="s">
        <v>108</v>
      </c>
      <c r="B6" s="22"/>
      <c r="C6" s="90" t="str">
        <f>'Splits Analysis Expected'!C6</f>
        <v>Year 0</v>
      </c>
      <c r="D6" s="89" t="str">
        <f>'Splits Analysis Expected'!D6</f>
        <v>Year 1</v>
      </c>
      <c r="E6" s="89" t="str">
        <f>'Splits Analysis Expected'!E6</f>
        <v>Year 2</v>
      </c>
      <c r="F6" s="89" t="str">
        <f>'Splits Analysis Expected'!F6</f>
        <v>Year 3</v>
      </c>
      <c r="G6" s="89" t="str">
        <f>'Splits Analysis Expected'!G6</f>
        <v>Year 4</v>
      </c>
      <c r="H6" s="89" t="str">
        <f>'Splits Analysis Expected'!H6</f>
        <v>Year 5</v>
      </c>
      <c r="I6" s="89" t="str">
        <f>'Splits Analysis Expected'!I6</f>
        <v>Year 6</v>
      </c>
      <c r="J6" s="89" t="str">
        <f>'Splits Analysis Expected'!J6</f>
        <v>Year 7</v>
      </c>
      <c r="K6" s="89" t="str">
        <f>'Splits Analysis Expected'!K6</f>
        <v>Year 8</v>
      </c>
      <c r="L6" s="89" t="str">
        <f>'Splits Analysis Expected'!L6</f>
        <v>Year 9</v>
      </c>
      <c r="M6" s="89" t="str">
        <f>'Splits Analysis Expected'!M6</f>
        <v>Year 10</v>
      </c>
      <c r="N6" s="89" t="str">
        <f>'Splits Analysis Expected'!N6</f>
        <v>Year 11</v>
      </c>
      <c r="P6" s="24"/>
      <c r="Q6" s="12"/>
      <c r="R6" s="12"/>
      <c r="S6" s="5"/>
    </row>
    <row r="7" spans="1:19">
      <c r="A7" s="13" t="s">
        <v>117</v>
      </c>
      <c r="B7" s="22"/>
      <c r="C7" s="21"/>
      <c r="D7" s="16"/>
      <c r="E7" s="16"/>
      <c r="F7" s="16"/>
      <c r="G7" s="16"/>
      <c r="H7" s="16"/>
      <c r="I7" s="16"/>
      <c r="J7" s="16"/>
      <c r="K7" s="16"/>
      <c r="L7" s="16"/>
      <c r="M7" s="16"/>
      <c r="N7" s="16"/>
      <c r="P7" s="16"/>
      <c r="Q7" s="8"/>
      <c r="R7" s="8"/>
      <c r="S7" s="5"/>
    </row>
    <row r="8" spans="1:19">
      <c r="A8" s="13" t="s">
        <v>109</v>
      </c>
      <c r="B8" s="22"/>
      <c r="C8" s="25">
        <f>'MarglInvestrAPVvaluationEx14-6'!B13*(1-'MarglInvestrAPVvaluationEx14-6'!G6)</f>
        <v>199999.99999999994</v>
      </c>
      <c r="D8" s="25"/>
      <c r="E8" s="16"/>
      <c r="F8" s="16"/>
      <c r="G8" s="16"/>
      <c r="H8" s="16"/>
      <c r="I8" s="16"/>
      <c r="J8" s="16"/>
      <c r="K8" s="16"/>
      <c r="L8" s="16"/>
      <c r="M8" s="16"/>
      <c r="N8" s="16"/>
      <c r="P8" s="16"/>
      <c r="Q8" s="8"/>
      <c r="R8" s="8"/>
      <c r="S8" s="5"/>
    </row>
    <row r="9" spans="1:19">
      <c r="A9" s="13" t="s">
        <v>110</v>
      </c>
      <c r="B9" s="22"/>
      <c r="C9" s="26"/>
      <c r="D9" s="27">
        <f>'MarglInvestrAPVvaluationEx14-6'!J6</f>
        <v>750000</v>
      </c>
      <c r="E9" s="16"/>
      <c r="F9" s="16"/>
      <c r="G9" s="16"/>
      <c r="H9" s="21"/>
      <c r="I9" s="16"/>
      <c r="J9" s="16"/>
      <c r="K9" s="16"/>
      <c r="L9" s="16"/>
      <c r="M9" s="16"/>
      <c r="N9" s="16"/>
      <c r="P9" s="16"/>
      <c r="Q9" s="8"/>
      <c r="R9" s="8"/>
      <c r="S9" s="5"/>
    </row>
    <row r="10" spans="1:19">
      <c r="A10" s="13" t="s">
        <v>73</v>
      </c>
      <c r="B10" s="22"/>
      <c r="C10" s="16">
        <f>-SUM(C8:C9)</f>
        <v>-199999.99999999994</v>
      </c>
      <c r="D10" s="16">
        <f>-SUM(D8:D9)</f>
        <v>-750000</v>
      </c>
      <c r="E10" s="16"/>
      <c r="F10" s="16"/>
      <c r="G10" s="16"/>
      <c r="H10" s="16"/>
      <c r="I10" s="16"/>
      <c r="J10" s="16"/>
      <c r="K10" s="16"/>
      <c r="L10" s="16"/>
      <c r="M10" s="16"/>
      <c r="N10" s="16"/>
      <c r="P10" s="16"/>
      <c r="Q10" s="8"/>
      <c r="R10" s="8"/>
      <c r="S10" s="5"/>
    </row>
    <row r="11" spans="1:19">
      <c r="A11" s="13" t="s">
        <v>74</v>
      </c>
      <c r="B11" s="22"/>
      <c r="C11" s="16">
        <f>-C10</f>
        <v>199999.99999999994</v>
      </c>
      <c r="D11" s="16"/>
      <c r="E11" s="16"/>
      <c r="F11" s="16"/>
      <c r="G11" s="16"/>
      <c r="H11" s="16"/>
      <c r="I11" s="16"/>
      <c r="J11" s="16"/>
      <c r="K11" s="16"/>
      <c r="L11" s="16"/>
      <c r="M11" s="16"/>
      <c r="N11" s="16"/>
      <c r="P11" s="16"/>
      <c r="Q11" s="8"/>
      <c r="R11" s="8"/>
      <c r="S11" s="5"/>
    </row>
    <row r="12" spans="1:19">
      <c r="A12" s="13" t="s">
        <v>72</v>
      </c>
      <c r="B12" s="22"/>
      <c r="C12" s="21"/>
      <c r="D12" s="16">
        <f>-D10</f>
        <v>750000</v>
      </c>
      <c r="E12" s="16"/>
      <c r="F12" s="16"/>
      <c r="G12" s="16"/>
      <c r="H12" s="16"/>
      <c r="I12" s="16"/>
      <c r="J12" s="16"/>
      <c r="K12" s="16"/>
      <c r="L12" s="16"/>
      <c r="M12" s="16"/>
      <c r="N12" s="16"/>
      <c r="P12" s="16"/>
      <c r="Q12" s="8"/>
      <c r="R12" s="8"/>
      <c r="S12" s="5"/>
    </row>
    <row r="13" spans="1:19">
      <c r="A13" s="13" t="s">
        <v>119</v>
      </c>
      <c r="B13" s="22"/>
      <c r="C13" s="21"/>
      <c r="D13" s="16">
        <f>-D12</f>
        <v>-750000</v>
      </c>
      <c r="E13" s="16"/>
      <c r="F13" s="16"/>
      <c r="G13" s="16"/>
      <c r="H13" s="16"/>
      <c r="I13" s="16"/>
      <c r="J13" s="16"/>
      <c r="K13" s="16"/>
      <c r="L13" s="16"/>
      <c r="M13" s="16"/>
      <c r="N13" s="16"/>
      <c r="P13" s="16"/>
      <c r="Q13" s="8"/>
      <c r="R13" s="8"/>
      <c r="S13" s="5"/>
    </row>
    <row r="14" spans="1:19">
      <c r="A14" s="13" t="s">
        <v>82</v>
      </c>
      <c r="B14" s="22"/>
      <c r="C14" s="21"/>
      <c r="D14" s="16">
        <f>-D13</f>
        <v>750000</v>
      </c>
      <c r="E14" s="16"/>
      <c r="F14" s="16"/>
      <c r="G14" s="16"/>
      <c r="H14" s="16"/>
      <c r="I14" s="16"/>
      <c r="J14" s="16"/>
      <c r="K14" s="16"/>
      <c r="L14" s="16"/>
      <c r="M14" s="16"/>
      <c r="N14" s="16"/>
      <c r="P14" s="16"/>
      <c r="Q14" s="8"/>
      <c r="R14" s="8"/>
      <c r="S14" s="5"/>
    </row>
    <row r="15" spans="1:19">
      <c r="A15" s="13" t="s">
        <v>85</v>
      </c>
      <c r="B15" s="22"/>
      <c r="C15" s="21"/>
      <c r="D15" s="16"/>
      <c r="E15" s="16">
        <f>'Optimistic CFs'!B44</f>
        <v>63000</v>
      </c>
      <c r="F15" s="16">
        <f>'Optimistic CFs'!C44</f>
        <v>64260</v>
      </c>
      <c r="G15" s="16">
        <f>'Optimistic CFs'!D44</f>
        <v>15545.199999999997</v>
      </c>
      <c r="H15" s="16">
        <f>'Optimistic CFs'!E44</f>
        <v>66856.103999999992</v>
      </c>
      <c r="I15" s="16">
        <f>'Optimistic CFs'!F44</f>
        <v>68193.226079999993</v>
      </c>
      <c r="J15" s="16">
        <f>'Optimistic CFs'!G44</f>
        <v>69557.090601599994</v>
      </c>
      <c r="K15" s="16">
        <f>'Optimistic CFs'!H44</f>
        <v>70948.232413631995</v>
      </c>
      <c r="L15" s="16">
        <f>'Optimistic CFs'!I44</f>
        <v>22367.197061904633</v>
      </c>
      <c r="M15" s="16">
        <f>'Optimistic CFs'!J44</f>
        <v>73814.541003142731</v>
      </c>
      <c r="N15" s="16">
        <f>'Optimistic CFs'!K44</f>
        <v>75290.83182320559</v>
      </c>
      <c r="P15" s="16"/>
      <c r="Q15" s="8"/>
      <c r="R15" s="8"/>
      <c r="S15" s="5"/>
    </row>
    <row r="16" spans="1:19">
      <c r="A16" s="13" t="s">
        <v>86</v>
      </c>
      <c r="B16" s="22"/>
      <c r="C16" s="21"/>
      <c r="D16" s="16"/>
      <c r="E16" s="27">
        <f>0</f>
        <v>0</v>
      </c>
      <c r="F16" s="27">
        <f>0</f>
        <v>0</v>
      </c>
      <c r="G16" s="27">
        <f>0</f>
        <v>0</v>
      </c>
      <c r="H16" s="27">
        <f>0</f>
        <v>0</v>
      </c>
      <c r="I16" s="27">
        <f>0</f>
        <v>0</v>
      </c>
      <c r="J16" s="27">
        <f>0</f>
        <v>0</v>
      </c>
      <c r="K16" s="27">
        <f>0</f>
        <v>0</v>
      </c>
      <c r="L16" s="27">
        <f>0</f>
        <v>0</v>
      </c>
      <c r="M16" s="27">
        <f>0</f>
        <v>0</v>
      </c>
      <c r="N16" s="27">
        <f>'Optimistic CFs'!M44</f>
        <v>1706592.1879926601</v>
      </c>
      <c r="P16" s="16"/>
      <c r="Q16" s="8"/>
      <c r="R16" s="8"/>
      <c r="S16" s="5"/>
    </row>
    <row r="17" spans="1:19" s="11" customFormat="1">
      <c r="A17" s="19" t="s">
        <v>83</v>
      </c>
      <c r="B17" s="17"/>
      <c r="E17" s="35">
        <f t="shared" ref="E17:N17" si="0">SUM(E15:E16)</f>
        <v>63000</v>
      </c>
      <c r="F17" s="35">
        <f t="shared" si="0"/>
        <v>64260</v>
      </c>
      <c r="G17" s="35">
        <f t="shared" si="0"/>
        <v>15545.199999999997</v>
      </c>
      <c r="H17" s="35">
        <f t="shared" si="0"/>
        <v>66856.103999999992</v>
      </c>
      <c r="I17" s="35">
        <f t="shared" si="0"/>
        <v>68193.226079999993</v>
      </c>
      <c r="J17" s="35">
        <f t="shared" si="0"/>
        <v>69557.090601599994</v>
      </c>
      <c r="K17" s="35">
        <f t="shared" si="0"/>
        <v>70948.232413631995</v>
      </c>
      <c r="L17" s="35">
        <f t="shared" si="0"/>
        <v>22367.197061904633</v>
      </c>
      <c r="M17" s="35">
        <f t="shared" si="0"/>
        <v>73814.541003142731</v>
      </c>
      <c r="N17" s="35">
        <f t="shared" si="0"/>
        <v>1781883.0198158657</v>
      </c>
      <c r="P17" s="10"/>
      <c r="Q17" s="10"/>
      <c r="R17" s="10"/>
      <c r="S17" s="14"/>
    </row>
    <row r="18" spans="1:19">
      <c r="A18" s="13" t="s">
        <v>101</v>
      </c>
      <c r="B18" s="22"/>
      <c r="C18" s="21"/>
      <c r="D18" s="16"/>
      <c r="E18" s="16">
        <f>-'MarglInvestrAPVvaluationEx14-6'!B82</f>
        <v>-43250</v>
      </c>
      <c r="F18" s="16">
        <f>-'MarglInvestrAPVvaluationEx14-6'!C82</f>
        <v>-43140</v>
      </c>
      <c r="G18" s="16">
        <f>-'MarglInvestrAPVvaluationEx14-6'!D82</f>
        <v>-43030</v>
      </c>
      <c r="H18" s="16">
        <f>-'MarglInvestrAPVvaluationEx14-6'!E82</f>
        <v>-42920</v>
      </c>
      <c r="I18" s="16">
        <f>-'MarglInvestrAPVvaluationEx14-6'!F82</f>
        <v>-42810</v>
      </c>
      <c r="J18" s="16">
        <f>-'MarglInvestrAPVvaluationEx14-6'!G82</f>
        <v>-42700</v>
      </c>
      <c r="K18" s="16">
        <f>-'MarglInvestrAPVvaluationEx14-6'!H82</f>
        <v>-42590</v>
      </c>
      <c r="L18" s="16">
        <f>-'MarglInvestrAPVvaluationEx14-6'!I82</f>
        <v>-42480</v>
      </c>
      <c r="M18" s="16">
        <f>-'MarglInvestrAPVvaluationEx14-6'!J82</f>
        <v>-42370</v>
      </c>
      <c r="N18" s="16">
        <f>-'MarglInvestrAPVvaluationEx14-6'!K82</f>
        <v>-42260</v>
      </c>
      <c r="P18" s="16"/>
      <c r="Q18" s="8"/>
      <c r="R18" s="8"/>
      <c r="S18" s="5"/>
    </row>
    <row r="19" spans="1:19">
      <c r="A19" s="28" t="s">
        <v>102</v>
      </c>
      <c r="B19" s="33"/>
      <c r="C19" s="23"/>
      <c r="D19" s="23"/>
      <c r="E19" s="23"/>
      <c r="F19" s="23"/>
      <c r="G19" s="23"/>
      <c r="H19" s="23"/>
      <c r="I19" s="23"/>
      <c r="J19" s="23"/>
      <c r="K19" s="23"/>
      <c r="L19" s="23"/>
      <c r="M19" s="23"/>
      <c r="N19" s="29">
        <f>-'MarglInvestrAPVvaluationEx14-6'!M82</f>
        <v>-730000</v>
      </c>
      <c r="P19" s="16"/>
      <c r="Q19" s="8"/>
      <c r="R19" s="8"/>
      <c r="S19" s="5"/>
    </row>
    <row r="20" spans="1:19">
      <c r="A20" s="13" t="s">
        <v>103</v>
      </c>
      <c r="B20" s="22"/>
      <c r="C20" s="21"/>
      <c r="D20" s="16">
        <f>D14</f>
        <v>750000</v>
      </c>
      <c r="E20" s="27">
        <f t="shared" ref="E20:N20" si="1">E18+E19</f>
        <v>-43250</v>
      </c>
      <c r="F20" s="27">
        <f t="shared" si="1"/>
        <v>-43140</v>
      </c>
      <c r="G20" s="27">
        <f t="shared" si="1"/>
        <v>-43030</v>
      </c>
      <c r="H20" s="27">
        <f t="shared" si="1"/>
        <v>-42920</v>
      </c>
      <c r="I20" s="27">
        <f t="shared" si="1"/>
        <v>-42810</v>
      </c>
      <c r="J20" s="27">
        <f t="shared" si="1"/>
        <v>-42700</v>
      </c>
      <c r="K20" s="27">
        <f t="shared" si="1"/>
        <v>-42590</v>
      </c>
      <c r="L20" s="27">
        <f t="shared" si="1"/>
        <v>-42480</v>
      </c>
      <c r="M20" s="27">
        <f t="shared" si="1"/>
        <v>-42370</v>
      </c>
      <c r="N20" s="27">
        <f t="shared" si="1"/>
        <v>-772260</v>
      </c>
      <c r="P20" s="16"/>
      <c r="Q20" s="8"/>
      <c r="R20" s="8"/>
      <c r="S20" s="5"/>
    </row>
    <row r="21" spans="1:19">
      <c r="A21" s="13" t="s">
        <v>87</v>
      </c>
      <c r="B21" s="22"/>
      <c r="C21" s="21"/>
      <c r="D21" s="16"/>
      <c r="E21" s="16">
        <f t="shared" ref="E21:N21" si="2">E15+E18</f>
        <v>19750</v>
      </c>
      <c r="F21" s="16">
        <f t="shared" si="2"/>
        <v>21120</v>
      </c>
      <c r="G21" s="16">
        <f t="shared" si="2"/>
        <v>-27484.800000000003</v>
      </c>
      <c r="H21" s="16">
        <f t="shared" si="2"/>
        <v>23936.103999999992</v>
      </c>
      <c r="I21" s="16">
        <f t="shared" si="2"/>
        <v>25383.226079999993</v>
      </c>
      <c r="J21" s="16">
        <f t="shared" si="2"/>
        <v>26857.090601599994</v>
      </c>
      <c r="K21" s="16">
        <f t="shared" si="2"/>
        <v>28358.232413631995</v>
      </c>
      <c r="L21" s="16">
        <f t="shared" si="2"/>
        <v>-20112.802938095367</v>
      </c>
      <c r="M21" s="16">
        <f t="shared" si="2"/>
        <v>31444.541003142731</v>
      </c>
      <c r="N21" s="16">
        <f t="shared" si="2"/>
        <v>33030.83182320559</v>
      </c>
      <c r="P21" s="16"/>
      <c r="Q21" s="8"/>
      <c r="R21" s="8"/>
      <c r="S21" s="5"/>
    </row>
    <row r="22" spans="1:19">
      <c r="A22" s="13" t="s">
        <v>88</v>
      </c>
      <c r="B22" s="22"/>
      <c r="C22" s="24"/>
      <c r="D22" s="30"/>
      <c r="E22" s="27">
        <f t="shared" ref="E22:N22" si="3">E16+E19</f>
        <v>0</v>
      </c>
      <c r="F22" s="27">
        <f t="shared" si="3"/>
        <v>0</v>
      </c>
      <c r="G22" s="27">
        <f t="shared" si="3"/>
        <v>0</v>
      </c>
      <c r="H22" s="27">
        <f t="shared" si="3"/>
        <v>0</v>
      </c>
      <c r="I22" s="27">
        <f t="shared" si="3"/>
        <v>0</v>
      </c>
      <c r="J22" s="27">
        <f t="shared" si="3"/>
        <v>0</v>
      </c>
      <c r="K22" s="27">
        <f t="shared" si="3"/>
        <v>0</v>
      </c>
      <c r="L22" s="27">
        <f t="shared" si="3"/>
        <v>0</v>
      </c>
      <c r="M22" s="27">
        <f t="shared" si="3"/>
        <v>0</v>
      </c>
      <c r="N22" s="27">
        <f t="shared" si="3"/>
        <v>976592.1879926601</v>
      </c>
      <c r="P22" s="16"/>
      <c r="Q22" s="8"/>
      <c r="R22" s="8"/>
      <c r="S22" s="5"/>
    </row>
    <row r="23" spans="1:19" s="11" customFormat="1">
      <c r="A23" s="19" t="s">
        <v>84</v>
      </c>
      <c r="B23" s="17"/>
      <c r="D23" s="10"/>
      <c r="E23" s="10">
        <f t="shared" ref="E23:N23" si="4">SUM(E21:E22)</f>
        <v>19750</v>
      </c>
      <c r="F23" s="10">
        <f t="shared" si="4"/>
        <v>21120</v>
      </c>
      <c r="G23" s="10">
        <f t="shared" si="4"/>
        <v>-27484.800000000003</v>
      </c>
      <c r="H23" s="10">
        <f t="shared" si="4"/>
        <v>23936.103999999992</v>
      </c>
      <c r="I23" s="10">
        <f t="shared" si="4"/>
        <v>25383.226079999993</v>
      </c>
      <c r="J23" s="10">
        <f t="shared" si="4"/>
        <v>26857.090601599994</v>
      </c>
      <c r="K23" s="10">
        <f t="shared" si="4"/>
        <v>28358.232413631995</v>
      </c>
      <c r="L23" s="10">
        <f t="shared" si="4"/>
        <v>-20112.802938095367</v>
      </c>
      <c r="M23" s="10">
        <f t="shared" si="4"/>
        <v>31444.541003142731</v>
      </c>
      <c r="N23" s="10">
        <f t="shared" si="4"/>
        <v>1009623.0198158657</v>
      </c>
      <c r="P23" s="10"/>
      <c r="Q23" s="10"/>
      <c r="R23" s="10"/>
      <c r="S23" s="14"/>
    </row>
    <row r="24" spans="1:19" s="11" customFormat="1">
      <c r="A24" s="19"/>
      <c r="B24" s="17"/>
      <c r="D24" s="10"/>
      <c r="E24" s="10"/>
      <c r="F24" s="10"/>
      <c r="G24" s="10"/>
      <c r="H24" s="10"/>
      <c r="I24" s="10"/>
      <c r="J24" s="10"/>
      <c r="K24" s="10"/>
      <c r="L24" s="10"/>
      <c r="M24" s="10"/>
      <c r="N24" s="10"/>
      <c r="P24" s="10"/>
      <c r="Q24" s="10"/>
      <c r="R24" s="10"/>
      <c r="S24" s="14"/>
    </row>
    <row r="25" spans="1:19" s="11" customFormat="1">
      <c r="A25" s="19" t="s">
        <v>77</v>
      </c>
      <c r="B25" s="17"/>
      <c r="D25" s="10"/>
      <c r="E25" s="10"/>
      <c r="F25" s="10"/>
      <c r="G25" s="10"/>
      <c r="H25" s="10"/>
      <c r="I25" s="10"/>
      <c r="J25" s="10"/>
      <c r="K25" s="10"/>
      <c r="L25" s="10"/>
      <c r="M25" s="10"/>
      <c r="N25" s="10"/>
      <c r="P25" s="10"/>
      <c r="Q25" s="10"/>
      <c r="R25" s="10"/>
      <c r="S25" s="14"/>
    </row>
    <row r="26" spans="1:19">
      <c r="A26" s="13" t="s">
        <v>97</v>
      </c>
      <c r="B26" s="22"/>
      <c r="C26" s="21"/>
      <c r="D26" s="16"/>
      <c r="E26" s="16"/>
      <c r="F26" s="16"/>
      <c r="G26" s="16"/>
      <c r="H26" s="16"/>
      <c r="I26" s="16"/>
      <c r="J26" s="16"/>
      <c r="K26" s="16"/>
      <c r="L26" s="16"/>
      <c r="M26" s="16"/>
      <c r="N26" s="16"/>
      <c r="P26" s="16"/>
      <c r="Q26" s="8"/>
      <c r="R26" s="8"/>
      <c r="S26" s="5"/>
    </row>
    <row r="27" spans="1:19">
      <c r="A27" s="13" t="s">
        <v>114</v>
      </c>
      <c r="B27" s="22"/>
      <c r="C27" s="16">
        <v>0</v>
      </c>
      <c r="D27" s="16">
        <f t="shared" ref="D27:N27" si="5">C33</f>
        <v>179999.99999999994</v>
      </c>
      <c r="E27" s="16">
        <f t="shared" si="5"/>
        <v>190799.99999999994</v>
      </c>
      <c r="F27" s="16">
        <f t="shared" si="5"/>
        <v>182497.99999999994</v>
      </c>
      <c r="G27" s="16">
        <f t="shared" si="5"/>
        <v>179999.99999999994</v>
      </c>
      <c r="H27" s="16">
        <f t="shared" si="5"/>
        <v>215536.31999999995</v>
      </c>
      <c r="I27" s="16">
        <f t="shared" si="5"/>
        <v>204736.31999999995</v>
      </c>
      <c r="J27" s="16">
        <f t="shared" si="5"/>
        <v>204736.31999999995</v>
      </c>
      <c r="K27" s="16">
        <f t="shared" si="5"/>
        <v>204736.31999999995</v>
      </c>
      <c r="L27" s="16">
        <f t="shared" si="5"/>
        <v>204736.31999999995</v>
      </c>
      <c r="M27" s="16">
        <f t="shared" si="5"/>
        <v>235122.02184428577</v>
      </c>
      <c r="N27" s="16">
        <f t="shared" si="5"/>
        <v>222837.84264428579</v>
      </c>
      <c r="P27" s="16"/>
      <c r="Q27" s="8"/>
      <c r="R27" s="8"/>
      <c r="S27" s="5"/>
    </row>
    <row r="28" spans="1:19">
      <c r="A28" s="13" t="s">
        <v>120</v>
      </c>
      <c r="B28" s="22"/>
      <c r="C28" s="16">
        <f>+C11*$B3</f>
        <v>179999.99999999994</v>
      </c>
      <c r="D28" s="16">
        <f>+D11*$B3</f>
        <v>0</v>
      </c>
      <c r="E28" s="16">
        <f t="shared" ref="E28:N28" si="6">(E11+IF(E21&lt;0,-E21,0))*$B3</f>
        <v>0</v>
      </c>
      <c r="F28" s="16">
        <f t="shared" si="6"/>
        <v>0</v>
      </c>
      <c r="G28" s="16">
        <f t="shared" si="6"/>
        <v>24736.320000000003</v>
      </c>
      <c r="H28" s="16">
        <f t="shared" si="6"/>
        <v>0</v>
      </c>
      <c r="I28" s="16">
        <f t="shared" si="6"/>
        <v>0</v>
      </c>
      <c r="J28" s="16">
        <f t="shared" si="6"/>
        <v>0</v>
      </c>
      <c r="K28" s="16">
        <f t="shared" si="6"/>
        <v>0</v>
      </c>
      <c r="L28" s="16">
        <f t="shared" si="6"/>
        <v>18101.522644285829</v>
      </c>
      <c r="M28" s="16">
        <f t="shared" si="6"/>
        <v>0</v>
      </c>
      <c r="N28" s="16">
        <f t="shared" si="6"/>
        <v>0</v>
      </c>
      <c r="P28" s="16"/>
      <c r="Q28" s="8"/>
      <c r="R28" s="8"/>
      <c r="S28" s="5"/>
    </row>
    <row r="29" spans="1:19">
      <c r="A29" s="13" t="s">
        <v>112</v>
      </c>
      <c r="B29" s="22"/>
      <c r="C29" s="16">
        <f>+B27*$B$4</f>
        <v>0</v>
      </c>
      <c r="D29" s="16">
        <f t="shared" ref="D29:N29" si="7">+D27*$B$4</f>
        <v>10799.999999999996</v>
      </c>
      <c r="E29" s="16">
        <f t="shared" si="7"/>
        <v>11447.999999999996</v>
      </c>
      <c r="F29" s="16">
        <f t="shared" si="7"/>
        <v>10949.879999999996</v>
      </c>
      <c r="G29" s="16">
        <f t="shared" si="7"/>
        <v>10799.999999999996</v>
      </c>
      <c r="H29" s="16">
        <f t="shared" si="7"/>
        <v>12932.179199999997</v>
      </c>
      <c r="I29" s="16">
        <f t="shared" si="7"/>
        <v>12284.179199999997</v>
      </c>
      <c r="J29" s="16">
        <f t="shared" si="7"/>
        <v>12284.179199999997</v>
      </c>
      <c r="K29" s="16">
        <f t="shared" si="7"/>
        <v>12284.179199999997</v>
      </c>
      <c r="L29" s="16">
        <f t="shared" si="7"/>
        <v>12284.179199999997</v>
      </c>
      <c r="M29" s="16">
        <f t="shared" si="7"/>
        <v>14107.321310657146</v>
      </c>
      <c r="N29" s="16">
        <f t="shared" si="7"/>
        <v>13370.270558657146</v>
      </c>
      <c r="P29" s="16"/>
      <c r="Q29" s="8"/>
      <c r="R29" s="8"/>
      <c r="S29" s="5"/>
    </row>
    <row r="30" spans="1:19">
      <c r="A30" s="13" t="s">
        <v>113</v>
      </c>
      <c r="B30" s="22"/>
      <c r="C30" s="16">
        <v>0</v>
      </c>
      <c r="D30" s="16">
        <v>0</v>
      </c>
      <c r="E30" s="16">
        <f t="shared" ref="E30:N30" si="8">-MIN(E29,MAX(E21,0))</f>
        <v>-11447.999999999996</v>
      </c>
      <c r="F30" s="16">
        <f t="shared" si="8"/>
        <v>-10949.879999999996</v>
      </c>
      <c r="G30" s="16">
        <f t="shared" si="8"/>
        <v>0</v>
      </c>
      <c r="H30" s="16">
        <f t="shared" si="8"/>
        <v>-12932.179199999997</v>
      </c>
      <c r="I30" s="16">
        <f t="shared" si="8"/>
        <v>-12284.179199999997</v>
      </c>
      <c r="J30" s="16">
        <f t="shared" si="8"/>
        <v>-12284.179199999997</v>
      </c>
      <c r="K30" s="16">
        <f t="shared" si="8"/>
        <v>-12284.179199999997</v>
      </c>
      <c r="L30" s="16">
        <f t="shared" si="8"/>
        <v>0</v>
      </c>
      <c r="M30" s="16">
        <f t="shared" si="8"/>
        <v>-14107.321310657146</v>
      </c>
      <c r="N30" s="16">
        <f t="shared" si="8"/>
        <v>-13370.270558657146</v>
      </c>
      <c r="P30" s="16"/>
      <c r="Q30" s="8"/>
      <c r="R30" s="8"/>
      <c r="S30" s="5"/>
    </row>
    <row r="31" spans="1:19">
      <c r="A31" s="13" t="s">
        <v>197</v>
      </c>
      <c r="B31" s="22"/>
      <c r="C31" s="16"/>
      <c r="D31" s="16"/>
      <c r="E31" s="16">
        <f>-MIN(MAX((E21+E30),0),(E27-SUM($C28:D28)))</f>
        <v>-8302.0000000000036</v>
      </c>
      <c r="F31" s="16">
        <f>-MIN(MAX((F21+F30),0),(F27-SUM($C28:E28)))</f>
        <v>-2498</v>
      </c>
      <c r="G31" s="16">
        <f>-MIN(MAX((G21+G30),0),(G27-SUM($C28:F28)))</f>
        <v>0</v>
      </c>
      <c r="H31" s="16">
        <f>-MIN(MAX((H21+H30),0),(H27-SUM($C28:G28)))</f>
        <v>-10800</v>
      </c>
      <c r="I31" s="16">
        <f>-MIN(MAX((I21+I30),0),(I27-SUM($C28:H28)))</f>
        <v>0</v>
      </c>
      <c r="J31" s="16">
        <f>-MIN(MAX((J21+J30),0),(J27-SUM($C28:I28)))</f>
        <v>0</v>
      </c>
      <c r="K31" s="16">
        <f>-MIN(MAX((K21+K30),0),(K27-SUM($C28:J28)))</f>
        <v>0</v>
      </c>
      <c r="L31" s="16">
        <f>-MIN(MAX((L21+L30),0),(L27-SUM($C28:K28)))</f>
        <v>0</v>
      </c>
      <c r="M31" s="16">
        <f>-MIN(MAX((M21+M30),0),(M27-SUM($C28:L28)))</f>
        <v>-12284.179199999984</v>
      </c>
      <c r="N31" s="16">
        <f>-MIN(MAX((N21+N30),0),(N27-SUM($C28:M28)))</f>
        <v>0</v>
      </c>
      <c r="P31" s="16"/>
      <c r="Q31" s="8"/>
      <c r="R31" s="8"/>
      <c r="S31" s="5"/>
    </row>
    <row r="32" spans="1:19">
      <c r="A32" s="13" t="s">
        <v>111</v>
      </c>
      <c r="B32" s="22"/>
      <c r="C32" s="27">
        <f t="shared" ref="C32:N32" si="9">C29+C30</f>
        <v>0</v>
      </c>
      <c r="D32" s="27">
        <f t="shared" si="9"/>
        <v>10799.999999999996</v>
      </c>
      <c r="E32" s="27">
        <f t="shared" si="9"/>
        <v>0</v>
      </c>
      <c r="F32" s="27">
        <f t="shared" si="9"/>
        <v>0</v>
      </c>
      <c r="G32" s="27">
        <f t="shared" si="9"/>
        <v>10799.999999999996</v>
      </c>
      <c r="H32" s="27">
        <f t="shared" si="9"/>
        <v>0</v>
      </c>
      <c r="I32" s="27">
        <f t="shared" si="9"/>
        <v>0</v>
      </c>
      <c r="J32" s="27">
        <f t="shared" si="9"/>
        <v>0</v>
      </c>
      <c r="K32" s="27">
        <f t="shared" si="9"/>
        <v>0</v>
      </c>
      <c r="L32" s="27">
        <f t="shared" si="9"/>
        <v>12284.179199999997</v>
      </c>
      <c r="M32" s="27">
        <f t="shared" si="9"/>
        <v>0</v>
      </c>
      <c r="N32" s="27">
        <f t="shared" si="9"/>
        <v>0</v>
      </c>
      <c r="P32" s="16"/>
      <c r="Q32" s="8"/>
      <c r="R32" s="8"/>
      <c r="S32" s="5"/>
    </row>
    <row r="33" spans="1:19">
      <c r="A33" s="13" t="s">
        <v>115</v>
      </c>
      <c r="B33" s="22"/>
      <c r="C33" s="16">
        <f t="shared" ref="C33:D33" si="10">C27+C28+C31+C32</f>
        <v>179999.99999999994</v>
      </c>
      <c r="D33" s="16">
        <f t="shared" si="10"/>
        <v>190799.99999999994</v>
      </c>
      <c r="E33" s="16">
        <f>E27+E28+E31+E32</f>
        <v>182497.99999999994</v>
      </c>
      <c r="F33" s="16">
        <f t="shared" ref="F33:N33" si="11">F27+F28+F31+F32</f>
        <v>179999.99999999994</v>
      </c>
      <c r="G33" s="16">
        <f t="shared" si="11"/>
        <v>215536.31999999995</v>
      </c>
      <c r="H33" s="16">
        <f t="shared" si="11"/>
        <v>204736.31999999995</v>
      </c>
      <c r="I33" s="16">
        <f t="shared" si="11"/>
        <v>204736.31999999995</v>
      </c>
      <c r="J33" s="16">
        <f t="shared" si="11"/>
        <v>204736.31999999995</v>
      </c>
      <c r="K33" s="16">
        <f t="shared" si="11"/>
        <v>204736.31999999995</v>
      </c>
      <c r="L33" s="16">
        <f t="shared" si="11"/>
        <v>235122.02184428577</v>
      </c>
      <c r="M33" s="16">
        <f t="shared" si="11"/>
        <v>222837.84264428579</v>
      </c>
      <c r="N33" s="16">
        <f t="shared" si="11"/>
        <v>222837.84264428579</v>
      </c>
      <c r="P33" s="16"/>
      <c r="Q33" s="8"/>
      <c r="R33" s="8"/>
      <c r="S33" s="5"/>
    </row>
    <row r="34" spans="1:19">
      <c r="A34" s="13" t="s">
        <v>104</v>
      </c>
      <c r="B34" s="22"/>
      <c r="C34" s="31"/>
      <c r="D34" s="23"/>
      <c r="E34" s="16"/>
      <c r="F34" s="16"/>
      <c r="G34" s="16"/>
      <c r="H34" s="16"/>
      <c r="I34" s="16"/>
      <c r="J34" s="16"/>
      <c r="K34" s="16"/>
      <c r="L34" s="16"/>
      <c r="M34" s="16"/>
      <c r="N34" s="16"/>
      <c r="P34" s="16"/>
      <c r="Q34" s="8"/>
      <c r="R34" s="8"/>
      <c r="S34" s="5"/>
    </row>
    <row r="35" spans="1:19">
      <c r="A35" s="13" t="s">
        <v>116</v>
      </c>
      <c r="B35" s="22"/>
      <c r="C35" s="21"/>
      <c r="D35" s="16"/>
      <c r="E35" s="16"/>
      <c r="F35" s="16"/>
      <c r="G35" s="16"/>
      <c r="H35" s="16"/>
      <c r="I35" s="16"/>
      <c r="J35" s="16"/>
      <c r="K35" s="16"/>
      <c r="L35" s="16"/>
      <c r="M35" s="16"/>
      <c r="N35" s="16">
        <f>-MIN(N33,N22)</f>
        <v>-222837.84264428579</v>
      </c>
      <c r="P35" s="16"/>
      <c r="Q35" s="8"/>
      <c r="R35" s="8"/>
      <c r="S35" s="5"/>
    </row>
    <row r="36" spans="1:19">
      <c r="A36" s="13" t="s">
        <v>105</v>
      </c>
      <c r="B36" s="22"/>
      <c r="C36" s="21"/>
      <c r="D36" s="16"/>
      <c r="E36" s="16"/>
      <c r="F36" s="16"/>
      <c r="G36" s="16"/>
      <c r="H36" s="16"/>
      <c r="I36" s="16"/>
      <c r="J36" s="16"/>
      <c r="K36" s="16"/>
      <c r="L36" s="16"/>
      <c r="M36" s="16"/>
      <c r="N36" s="16">
        <f>IF(N33+N35&gt;0,0,-MIN(N23+N35,(1-B3)*(C11-G23-L23)))</f>
        <v>-24759.760293809522</v>
      </c>
      <c r="P36" s="16"/>
      <c r="Q36" s="8"/>
      <c r="R36" s="8"/>
      <c r="S36" s="5"/>
    </row>
    <row r="37" spans="1:19">
      <c r="A37" s="13"/>
      <c r="B37" s="22"/>
      <c r="C37" s="21"/>
      <c r="D37" s="16"/>
      <c r="E37" s="16"/>
      <c r="F37" s="16"/>
      <c r="G37" s="16"/>
      <c r="H37" s="16"/>
      <c r="I37" s="16"/>
      <c r="J37" s="16"/>
      <c r="K37" s="16"/>
      <c r="L37" s="16"/>
      <c r="M37" s="16"/>
      <c r="N37" s="16"/>
      <c r="P37" s="16"/>
      <c r="Q37" s="8"/>
      <c r="R37" s="8"/>
      <c r="S37" s="5"/>
    </row>
    <row r="38" spans="1:19">
      <c r="A38" s="19" t="s">
        <v>106</v>
      </c>
      <c r="B38" s="95"/>
      <c r="C38" s="96"/>
      <c r="D38" s="97"/>
      <c r="E38" s="97"/>
      <c r="F38" s="97"/>
      <c r="G38" s="97"/>
      <c r="H38" s="97"/>
      <c r="I38" s="97"/>
      <c r="J38" s="97"/>
      <c r="K38" s="97"/>
      <c r="L38" s="97"/>
      <c r="M38" s="97"/>
      <c r="N38" s="97"/>
      <c r="P38" s="16"/>
      <c r="Q38" s="8"/>
      <c r="R38" s="8"/>
      <c r="S38" s="5"/>
    </row>
    <row r="39" spans="1:19">
      <c r="A39" s="98"/>
      <c r="B39" s="99"/>
      <c r="C39" s="100" t="str">
        <f t="shared" ref="C39:N39" si="12">C6</f>
        <v>Year 0</v>
      </c>
      <c r="D39" s="100" t="str">
        <f t="shared" si="12"/>
        <v>Year 1</v>
      </c>
      <c r="E39" s="100" t="str">
        <f t="shared" si="12"/>
        <v>Year 2</v>
      </c>
      <c r="F39" s="100" t="str">
        <f t="shared" si="12"/>
        <v>Year 3</v>
      </c>
      <c r="G39" s="100" t="str">
        <f t="shared" si="12"/>
        <v>Year 4</v>
      </c>
      <c r="H39" s="100" t="str">
        <f t="shared" si="12"/>
        <v>Year 5</v>
      </c>
      <c r="I39" s="100" t="str">
        <f t="shared" si="12"/>
        <v>Year 6</v>
      </c>
      <c r="J39" s="100" t="str">
        <f t="shared" si="12"/>
        <v>Year 7</v>
      </c>
      <c r="K39" s="100" t="str">
        <f t="shared" si="12"/>
        <v>Year 8</v>
      </c>
      <c r="L39" s="100" t="str">
        <f t="shared" si="12"/>
        <v>Year 9</v>
      </c>
      <c r="M39" s="100" t="str">
        <f t="shared" si="12"/>
        <v>Year 10</v>
      </c>
      <c r="N39" s="100" t="str">
        <f t="shared" si="12"/>
        <v>Year 11</v>
      </c>
      <c r="P39" s="16"/>
      <c r="Q39" s="8"/>
      <c r="R39" s="8"/>
      <c r="S39" s="5"/>
    </row>
    <row r="40" spans="1:19">
      <c r="A40" s="19" t="s">
        <v>78</v>
      </c>
      <c r="B40" s="101" t="s">
        <v>76</v>
      </c>
      <c r="C40" s="96"/>
      <c r="D40" s="97"/>
      <c r="E40" s="97"/>
      <c r="F40" s="97"/>
      <c r="G40" s="97"/>
      <c r="H40" s="97"/>
      <c r="I40" s="97"/>
      <c r="J40" s="97"/>
      <c r="K40" s="97"/>
      <c r="L40" s="97"/>
      <c r="M40" s="97"/>
      <c r="N40" s="97"/>
      <c r="P40" s="16"/>
      <c r="Q40" s="8"/>
      <c r="R40" s="8"/>
      <c r="S40" s="5"/>
    </row>
    <row r="41" spans="1:19">
      <c r="A41" s="102" t="s">
        <v>92</v>
      </c>
      <c r="B41" s="103">
        <f>IRR(C41:D41)</f>
        <v>0.50000000000000044</v>
      </c>
      <c r="C41" s="104">
        <f>-C11</f>
        <v>-199999.99999999994</v>
      </c>
      <c r="D41" s="104">
        <f>D13+'Optimistic CFs'!B13</f>
        <v>300000</v>
      </c>
      <c r="E41" s="104"/>
      <c r="F41" s="104"/>
      <c r="G41" s="104"/>
      <c r="H41" s="104"/>
      <c r="I41" s="104"/>
      <c r="J41" s="104"/>
      <c r="K41" s="104"/>
      <c r="L41" s="104"/>
      <c r="M41" s="104"/>
      <c r="N41" s="104"/>
      <c r="P41" s="8"/>
      <c r="Q41" s="8"/>
      <c r="R41" s="8"/>
      <c r="S41" s="5"/>
    </row>
    <row r="42" spans="1:19">
      <c r="A42" s="102" t="s">
        <v>93</v>
      </c>
      <c r="B42" s="103">
        <f>IRR(D42:N42)</f>
        <v>9.540197382317861E-2</v>
      </c>
      <c r="C42" s="105"/>
      <c r="D42" s="104">
        <f>-'Optimistic CFs'!B13</f>
        <v>-1050000</v>
      </c>
      <c r="E42" s="104">
        <f t="shared" ref="E42:N42" si="13">E17</f>
        <v>63000</v>
      </c>
      <c r="F42" s="104">
        <f t="shared" si="13"/>
        <v>64260</v>
      </c>
      <c r="G42" s="104">
        <f t="shared" si="13"/>
        <v>15545.199999999997</v>
      </c>
      <c r="H42" s="104">
        <f t="shared" si="13"/>
        <v>66856.103999999992</v>
      </c>
      <c r="I42" s="104">
        <f t="shared" si="13"/>
        <v>68193.226079999993</v>
      </c>
      <c r="J42" s="104">
        <f t="shared" si="13"/>
        <v>69557.090601599994</v>
      </c>
      <c r="K42" s="104">
        <f t="shared" si="13"/>
        <v>70948.232413631995</v>
      </c>
      <c r="L42" s="104">
        <f t="shared" si="13"/>
        <v>22367.197061904633</v>
      </c>
      <c r="M42" s="104">
        <f t="shared" si="13"/>
        <v>73814.541003142731</v>
      </c>
      <c r="N42" s="104">
        <f t="shared" si="13"/>
        <v>1781883.0198158657</v>
      </c>
      <c r="P42" s="8"/>
      <c r="Q42" s="8"/>
      <c r="R42" s="8"/>
      <c r="S42" s="5"/>
    </row>
    <row r="43" spans="1:19">
      <c r="A43" s="102" t="s">
        <v>94</v>
      </c>
      <c r="B43" s="103">
        <f>IRR(C43:N43)</f>
        <v>0.10588332632159858</v>
      </c>
      <c r="C43" s="104">
        <f>-C11</f>
        <v>-199999.99999999994</v>
      </c>
      <c r="D43" s="104">
        <f>D13</f>
        <v>-750000</v>
      </c>
      <c r="E43" s="104">
        <f t="shared" ref="E43:N43" si="14">E17</f>
        <v>63000</v>
      </c>
      <c r="F43" s="104">
        <f t="shared" si="14"/>
        <v>64260</v>
      </c>
      <c r="G43" s="104">
        <f t="shared" si="14"/>
        <v>15545.199999999997</v>
      </c>
      <c r="H43" s="104">
        <f t="shared" si="14"/>
        <v>66856.103999999992</v>
      </c>
      <c r="I43" s="104">
        <f t="shared" si="14"/>
        <v>68193.226079999993</v>
      </c>
      <c r="J43" s="104">
        <f t="shared" si="14"/>
        <v>69557.090601599994</v>
      </c>
      <c r="K43" s="104">
        <f t="shared" si="14"/>
        <v>70948.232413631995</v>
      </c>
      <c r="L43" s="104">
        <f t="shared" si="14"/>
        <v>22367.197061904633</v>
      </c>
      <c r="M43" s="104">
        <f t="shared" si="14"/>
        <v>73814.541003142731</v>
      </c>
      <c r="N43" s="104">
        <f t="shared" si="14"/>
        <v>1781883.0198158657</v>
      </c>
      <c r="P43" s="8"/>
      <c r="Q43" s="8"/>
      <c r="R43" s="8"/>
      <c r="S43" s="5"/>
    </row>
    <row r="44" spans="1:19">
      <c r="A44" s="102"/>
      <c r="B44" s="106"/>
      <c r="C44" s="98"/>
      <c r="D44" s="98"/>
      <c r="E44" s="98"/>
      <c r="F44" s="98"/>
      <c r="G44" s="98"/>
      <c r="H44" s="98"/>
      <c r="I44" s="98"/>
      <c r="J44" s="98"/>
      <c r="K44" s="98"/>
      <c r="L44" s="98"/>
      <c r="M44" s="98"/>
      <c r="N44" s="98"/>
      <c r="P44" s="8"/>
      <c r="Q44" s="8"/>
      <c r="R44" s="8"/>
      <c r="S44" s="5"/>
    </row>
    <row r="45" spans="1:19">
      <c r="A45" s="19" t="s">
        <v>98</v>
      </c>
      <c r="B45" s="103">
        <f>IRR(D45:N45)</f>
        <v>5.4999999999999938E-2</v>
      </c>
      <c r="C45" s="104"/>
      <c r="D45" s="104">
        <f t="shared" ref="D45:N45" si="15">-D20</f>
        <v>-750000</v>
      </c>
      <c r="E45" s="104">
        <f t="shared" si="15"/>
        <v>43250</v>
      </c>
      <c r="F45" s="104">
        <f t="shared" si="15"/>
        <v>43140</v>
      </c>
      <c r="G45" s="104">
        <f t="shared" si="15"/>
        <v>43030</v>
      </c>
      <c r="H45" s="104">
        <f t="shared" si="15"/>
        <v>42920</v>
      </c>
      <c r="I45" s="104">
        <f t="shared" si="15"/>
        <v>42810</v>
      </c>
      <c r="J45" s="104">
        <f t="shared" si="15"/>
        <v>42700</v>
      </c>
      <c r="K45" s="104">
        <f t="shared" si="15"/>
        <v>42590</v>
      </c>
      <c r="L45" s="104">
        <f t="shared" si="15"/>
        <v>42480</v>
      </c>
      <c r="M45" s="104">
        <f t="shared" si="15"/>
        <v>42370</v>
      </c>
      <c r="N45" s="104">
        <f t="shared" si="15"/>
        <v>772260</v>
      </c>
      <c r="P45" s="8"/>
      <c r="Q45" s="8"/>
      <c r="R45" s="8"/>
      <c r="S45" s="5"/>
    </row>
    <row r="46" spans="1:19">
      <c r="A46" s="102"/>
      <c r="B46" s="103"/>
      <c r="C46" s="105"/>
      <c r="D46" s="104"/>
      <c r="E46" s="104"/>
      <c r="F46" s="104"/>
      <c r="G46" s="104"/>
      <c r="H46" s="104"/>
      <c r="I46" s="104"/>
      <c r="J46" s="104"/>
      <c r="K46" s="104"/>
      <c r="L46" s="104"/>
      <c r="M46" s="104"/>
      <c r="N46" s="104"/>
      <c r="P46" s="8"/>
      <c r="Q46" s="8"/>
      <c r="R46" s="8"/>
      <c r="S46" s="5"/>
    </row>
    <row r="47" spans="1:19">
      <c r="A47" s="19" t="s">
        <v>80</v>
      </c>
      <c r="B47" s="103"/>
      <c r="C47" s="105"/>
      <c r="D47" s="104"/>
      <c r="E47" s="104"/>
      <c r="F47" s="104"/>
      <c r="G47" s="104"/>
      <c r="H47" s="104"/>
      <c r="I47" s="104"/>
      <c r="J47" s="104"/>
      <c r="K47" s="104"/>
      <c r="L47" s="104"/>
      <c r="M47" s="104"/>
      <c r="N47" s="104"/>
      <c r="P47" s="8"/>
      <c r="Q47" s="8"/>
      <c r="R47" s="8"/>
      <c r="S47" s="5"/>
    </row>
    <row r="48" spans="1:19">
      <c r="A48" s="102" t="s">
        <v>92</v>
      </c>
      <c r="B48" s="103">
        <f>IRR(C48:D48)</f>
        <v>0.50000000000000044</v>
      </c>
      <c r="C48" s="104">
        <f>-C11</f>
        <v>-199999.99999999994</v>
      </c>
      <c r="D48" s="104">
        <f>D13+'Optimistic CFs'!B13</f>
        <v>300000</v>
      </c>
      <c r="E48" s="104"/>
      <c r="F48" s="104"/>
      <c r="G48" s="104"/>
      <c r="H48" s="104"/>
      <c r="I48" s="104"/>
      <c r="J48" s="104"/>
      <c r="K48" s="104"/>
      <c r="L48" s="104"/>
      <c r="M48" s="104"/>
      <c r="N48" s="104"/>
      <c r="P48" s="8"/>
      <c r="Q48" s="8"/>
      <c r="R48" s="8"/>
      <c r="S48" s="5"/>
    </row>
    <row r="49" spans="1:19" ht="13.8">
      <c r="A49" s="102" t="s">
        <v>93</v>
      </c>
      <c r="B49" s="103">
        <f>IRR(D49:N49)</f>
        <v>0.15664072832749931</v>
      </c>
      <c r="C49" s="105"/>
      <c r="D49" s="104">
        <f>-('Optimistic CFs'!B13-'Optimistic Splits'!D14)</f>
        <v>-300000</v>
      </c>
      <c r="E49" s="104">
        <f t="shared" ref="E49:N49" si="16">E23</f>
        <v>19750</v>
      </c>
      <c r="F49" s="104">
        <f t="shared" si="16"/>
        <v>21120</v>
      </c>
      <c r="G49" s="104">
        <f t="shared" si="16"/>
        <v>-27484.800000000003</v>
      </c>
      <c r="H49" s="104">
        <f t="shared" si="16"/>
        <v>23936.103999999992</v>
      </c>
      <c r="I49" s="104">
        <f t="shared" si="16"/>
        <v>25383.226079999993</v>
      </c>
      <c r="J49" s="104">
        <f t="shared" si="16"/>
        <v>26857.090601599994</v>
      </c>
      <c r="K49" s="104">
        <f t="shared" si="16"/>
        <v>28358.232413631995</v>
      </c>
      <c r="L49" s="104">
        <f t="shared" si="16"/>
        <v>-20112.802938095367</v>
      </c>
      <c r="M49" s="104">
        <f t="shared" si="16"/>
        <v>31444.541003142731</v>
      </c>
      <c r="N49" s="104">
        <f t="shared" si="16"/>
        <v>1009623.0198158657</v>
      </c>
      <c r="P49" s="40"/>
      <c r="Q49" s="8"/>
      <c r="R49" s="8"/>
      <c r="S49" s="5"/>
    </row>
    <row r="50" spans="1:19">
      <c r="A50" s="102" t="s">
        <v>94</v>
      </c>
      <c r="B50" s="103">
        <f>IRR(C50:N50)</f>
        <v>0.18814943219216573</v>
      </c>
      <c r="C50" s="104">
        <f>-C11</f>
        <v>-199999.99999999994</v>
      </c>
      <c r="D50" s="104">
        <f>SUM(D13:D14)</f>
        <v>0</v>
      </c>
      <c r="E50" s="104">
        <f t="shared" ref="E50:N50" si="17">E23</f>
        <v>19750</v>
      </c>
      <c r="F50" s="104">
        <f t="shared" si="17"/>
        <v>21120</v>
      </c>
      <c r="G50" s="104">
        <f t="shared" si="17"/>
        <v>-27484.800000000003</v>
      </c>
      <c r="H50" s="104">
        <f t="shared" si="17"/>
        <v>23936.103999999992</v>
      </c>
      <c r="I50" s="104">
        <f t="shared" si="17"/>
        <v>25383.226079999993</v>
      </c>
      <c r="J50" s="104">
        <f t="shared" si="17"/>
        <v>26857.090601599994</v>
      </c>
      <c r="K50" s="104">
        <f t="shared" si="17"/>
        <v>28358.232413631995</v>
      </c>
      <c r="L50" s="104">
        <f t="shared" si="17"/>
        <v>-20112.802938095367</v>
      </c>
      <c r="M50" s="104">
        <f t="shared" si="17"/>
        <v>31444.541003142731</v>
      </c>
      <c r="N50" s="104">
        <f t="shared" si="17"/>
        <v>1009623.0198158657</v>
      </c>
      <c r="P50" s="8"/>
      <c r="Q50" s="8"/>
      <c r="R50" s="8"/>
      <c r="S50" s="5"/>
    </row>
    <row r="51" spans="1:19">
      <c r="A51" s="102"/>
      <c r="B51" s="103"/>
      <c r="C51" s="105"/>
      <c r="D51" s="104"/>
      <c r="E51" s="104"/>
      <c r="F51" s="104"/>
      <c r="G51" s="104"/>
      <c r="H51" s="104"/>
      <c r="I51" s="104"/>
      <c r="J51" s="104"/>
      <c r="K51" s="104"/>
      <c r="L51" s="104"/>
      <c r="M51" s="104"/>
      <c r="N51" s="104"/>
      <c r="P51" s="8"/>
      <c r="Q51" s="8"/>
      <c r="R51" s="8"/>
      <c r="S51" s="5"/>
    </row>
    <row r="52" spans="1:19">
      <c r="A52" s="19" t="s">
        <v>95</v>
      </c>
      <c r="B52" s="103"/>
      <c r="C52" s="105"/>
      <c r="D52" s="104"/>
      <c r="E52" s="104"/>
      <c r="F52" s="104"/>
      <c r="G52" s="104"/>
      <c r="H52" s="104"/>
      <c r="I52" s="104"/>
      <c r="J52" s="104"/>
      <c r="K52" s="104"/>
      <c r="L52" s="104"/>
      <c r="M52" s="104"/>
      <c r="N52" s="104"/>
      <c r="P52" s="8"/>
      <c r="Q52" s="8"/>
      <c r="R52" s="8"/>
      <c r="S52" s="5"/>
    </row>
    <row r="53" spans="1:19">
      <c r="A53" s="102" t="s">
        <v>100</v>
      </c>
      <c r="B53" s="103">
        <f>IRR(C53:D53)</f>
        <v>0.30777777777777815</v>
      </c>
      <c r="C53" s="104">
        <f>-C28</f>
        <v>-179999.99999999994</v>
      </c>
      <c r="D53" s="104">
        <f>MIN(D48,MAX(B3*C11*(1+B4),B3*C11*(1+B4)+(D48-B3*C11*(1+B4)-(1-B3)*C11)*B5))</f>
        <v>235399.99999999997</v>
      </c>
      <c r="E53" s="104"/>
      <c r="F53" s="104"/>
      <c r="G53" s="104"/>
      <c r="H53" s="104"/>
      <c r="I53" s="104"/>
      <c r="J53" s="104"/>
      <c r="K53" s="104"/>
      <c r="L53" s="104"/>
      <c r="M53" s="104"/>
      <c r="N53" s="104"/>
      <c r="P53" s="8"/>
      <c r="Q53" s="8"/>
      <c r="R53" s="8"/>
      <c r="S53" s="5"/>
    </row>
    <row r="54" spans="1:19">
      <c r="A54" s="102" t="s">
        <v>94</v>
      </c>
      <c r="B54" s="103">
        <f>IRR(C54:N54)</f>
        <v>0.14957919037769485</v>
      </c>
      <c r="C54" s="104">
        <f>-C28</f>
        <v>-179999.99999999994</v>
      </c>
      <c r="D54" s="104">
        <f>-D28+IF(D21+D30+D31&gt;=0,-D30-D31+$B5*(D21+D30+D31),0)</f>
        <v>0</v>
      </c>
      <c r="E54" s="104">
        <f>-E28+IF(E21+E30+E31&gt;=0,-E30-E31+$B5*(E21+E30+E31),0)</f>
        <v>19750</v>
      </c>
      <c r="F54" s="104">
        <f t="shared" ref="F54:M54" si="18">-F28+IF(F21+F30+F31&gt;=0,-F30-F31+$B5*(F21+F30+F31),0)</f>
        <v>17283.939999999999</v>
      </c>
      <c r="G54" s="104">
        <f t="shared" si="18"/>
        <v>-24736.320000000003</v>
      </c>
      <c r="H54" s="104">
        <f t="shared" si="18"/>
        <v>23834.141599999995</v>
      </c>
      <c r="I54" s="104">
        <f t="shared" si="18"/>
        <v>18833.702639999996</v>
      </c>
      <c r="J54" s="104">
        <f t="shared" si="18"/>
        <v>19570.634900799996</v>
      </c>
      <c r="K54" s="104">
        <f t="shared" si="18"/>
        <v>20321.205806815997</v>
      </c>
      <c r="L54" s="104">
        <f t="shared" si="18"/>
        <v>-18101.522644285829</v>
      </c>
      <c r="M54" s="104">
        <f t="shared" si="18"/>
        <v>28918.020756899932</v>
      </c>
      <c r="N54" s="104">
        <f>-N28+IF(N21+N30+N31&gt;=0,-N30-N31+$B5*(N21+N30+N31),0)-N35+IF(N22+N35+N36&gt;=0,$B5*(N22+N35+N36))</f>
        <v>610535.6863624996</v>
      </c>
      <c r="P54" s="39"/>
      <c r="Q54" s="8"/>
      <c r="R54" s="8"/>
      <c r="S54" s="5"/>
    </row>
    <row r="55" spans="1:19">
      <c r="A55" s="102"/>
      <c r="B55" s="103"/>
      <c r="C55" s="104"/>
      <c r="D55" s="104"/>
      <c r="E55" s="104"/>
      <c r="F55" s="104"/>
      <c r="G55" s="104"/>
      <c r="H55" s="104"/>
      <c r="I55" s="104"/>
      <c r="J55" s="104"/>
      <c r="K55" s="104"/>
      <c r="L55" s="104"/>
      <c r="M55" s="104"/>
      <c r="N55" s="104"/>
      <c r="P55" s="39"/>
      <c r="Q55" s="8"/>
      <c r="R55" s="8"/>
      <c r="S55" s="5"/>
    </row>
    <row r="56" spans="1:19" ht="13.8">
      <c r="A56" s="19" t="s">
        <v>96</v>
      </c>
      <c r="B56" s="103"/>
      <c r="C56" s="104"/>
      <c r="D56" s="104"/>
      <c r="E56" s="104"/>
      <c r="F56" s="104"/>
      <c r="G56" s="104"/>
      <c r="H56" s="104"/>
      <c r="I56" s="104"/>
      <c r="J56" s="104"/>
      <c r="K56" s="104"/>
      <c r="L56" s="104"/>
      <c r="M56" s="104"/>
      <c r="N56" s="104"/>
      <c r="P56" s="40"/>
      <c r="R56" s="8"/>
      <c r="S56" s="5"/>
    </row>
    <row r="57" spans="1:19">
      <c r="A57" s="102" t="s">
        <v>100</v>
      </c>
      <c r="B57" s="103">
        <f>IRR(C57:D57)</f>
        <v>2.2300000000000009</v>
      </c>
      <c r="C57" s="104">
        <f>-(C11-C28)</f>
        <v>-20000</v>
      </c>
      <c r="D57" s="104">
        <f>D48-D53</f>
        <v>64600.000000000029</v>
      </c>
      <c r="E57" s="104"/>
      <c r="F57" s="104"/>
      <c r="G57" s="104"/>
      <c r="H57" s="104"/>
      <c r="I57" s="104"/>
      <c r="J57" s="104"/>
      <c r="K57" s="104"/>
      <c r="L57" s="104"/>
      <c r="M57" s="104"/>
      <c r="N57" s="104"/>
      <c r="P57" s="39"/>
      <c r="Q57" s="8"/>
      <c r="R57" s="8"/>
      <c r="S57" s="5"/>
    </row>
    <row r="58" spans="1:19">
      <c r="A58" s="102" t="s">
        <v>94</v>
      </c>
      <c r="B58" s="103">
        <f>IRR(C58:N58)</f>
        <v>0.33701117344719123</v>
      </c>
      <c r="C58" s="104">
        <f>-(C11-C28)</f>
        <v>-20000</v>
      </c>
      <c r="D58" s="104">
        <f t="shared" ref="D58:N58" si="19">D50-D54</f>
        <v>0</v>
      </c>
      <c r="E58" s="104">
        <f t="shared" si="19"/>
        <v>0</v>
      </c>
      <c r="F58" s="104">
        <f t="shared" si="19"/>
        <v>3836.0600000000013</v>
      </c>
      <c r="G58" s="104">
        <f t="shared" si="19"/>
        <v>-2748.4799999999996</v>
      </c>
      <c r="H58" s="104">
        <f t="shared" si="19"/>
        <v>101.96239999999671</v>
      </c>
      <c r="I58" s="104">
        <f t="shared" si="19"/>
        <v>6549.5234399999972</v>
      </c>
      <c r="J58" s="104">
        <f t="shared" si="19"/>
        <v>7286.4557007999974</v>
      </c>
      <c r="K58" s="104">
        <f t="shared" si="19"/>
        <v>8037.0266068159981</v>
      </c>
      <c r="L58" s="104">
        <f t="shared" si="19"/>
        <v>-2011.2802938095374</v>
      </c>
      <c r="M58" s="104">
        <f t="shared" si="19"/>
        <v>2526.5202462427987</v>
      </c>
      <c r="N58" s="104">
        <f t="shared" si="19"/>
        <v>399087.33345336607</v>
      </c>
      <c r="P58" s="39"/>
      <c r="Q58" s="8"/>
      <c r="R58" s="8"/>
      <c r="S58" s="5"/>
    </row>
    <row r="59" spans="1:19">
      <c r="A59" s="3"/>
      <c r="B59" s="4"/>
      <c r="C59" s="9"/>
      <c r="D59" s="4"/>
      <c r="E59" s="8"/>
      <c r="F59" s="8"/>
      <c r="G59" s="8"/>
      <c r="H59" s="8"/>
      <c r="I59" s="8"/>
      <c r="J59" s="8"/>
      <c r="K59" s="8"/>
      <c r="L59" s="8"/>
      <c r="M59" s="8"/>
      <c r="N59" s="8"/>
      <c r="O59" s="8"/>
      <c r="P59" s="8"/>
      <c r="Q59" s="8"/>
      <c r="R59" s="8"/>
      <c r="S59" s="5"/>
    </row>
    <row r="60" spans="1:19">
      <c r="A60" s="3" t="s">
        <v>79</v>
      </c>
      <c r="B60" s="4"/>
      <c r="C60" s="9"/>
      <c r="D60" s="4"/>
      <c r="E60" s="8"/>
      <c r="F60" s="8"/>
      <c r="G60" s="8"/>
      <c r="H60" s="8"/>
      <c r="I60" s="8"/>
      <c r="J60" s="8"/>
      <c r="K60" s="8"/>
      <c r="L60" s="8"/>
      <c r="M60" s="8"/>
      <c r="N60" s="8"/>
      <c r="O60" s="8"/>
      <c r="P60" s="8"/>
      <c r="Q60" s="8"/>
      <c r="R60" s="8"/>
      <c r="S60" s="5"/>
    </row>
    <row r="61" spans="1:19">
      <c r="A61" s="4" t="s">
        <v>81</v>
      </c>
      <c r="B61" s="4"/>
      <c r="C61" s="9"/>
      <c r="D61" s="4"/>
      <c r="E61" s="8"/>
      <c r="F61" s="8"/>
      <c r="G61" s="8"/>
      <c r="H61" s="8"/>
      <c r="I61" s="8"/>
      <c r="J61" s="8"/>
      <c r="K61" s="8"/>
      <c r="L61" s="8"/>
      <c r="M61" s="8"/>
      <c r="N61" s="8"/>
      <c r="O61" s="8"/>
      <c r="P61" s="8"/>
      <c r="Q61" s="8"/>
      <c r="R61" s="8"/>
      <c r="S61" s="5"/>
    </row>
    <row r="62" spans="1:19">
      <c r="A62" s="4"/>
      <c r="B62" s="4"/>
      <c r="C62" s="9"/>
      <c r="D62" s="4"/>
      <c r="E62" s="8"/>
      <c r="F62" s="8"/>
      <c r="G62" s="8"/>
      <c r="H62" s="8"/>
      <c r="I62" s="8"/>
      <c r="J62" s="8"/>
      <c r="K62" s="8"/>
      <c r="L62" s="8"/>
      <c r="M62" s="8"/>
      <c r="N62" s="8"/>
      <c r="O62" s="8"/>
      <c r="P62" s="8"/>
      <c r="Q62" s="8"/>
      <c r="R62" s="8"/>
      <c r="S62" s="5"/>
    </row>
    <row r="63" spans="1:19">
      <c r="A63" s="4"/>
      <c r="B63" s="4"/>
      <c r="C63" s="34"/>
      <c r="D63" s="4"/>
      <c r="E63" s="8"/>
      <c r="F63" s="8"/>
      <c r="G63" s="8"/>
      <c r="H63" s="8"/>
      <c r="I63" s="8"/>
      <c r="J63" s="8"/>
      <c r="K63" s="8"/>
      <c r="L63" s="8"/>
      <c r="M63" s="8"/>
      <c r="N63" s="8"/>
      <c r="O63" s="8"/>
      <c r="P63" s="8"/>
      <c r="Q63" s="8"/>
      <c r="R63" s="8"/>
      <c r="S63" s="5"/>
    </row>
    <row r="64" spans="1:19">
      <c r="A64" s="6"/>
      <c r="B64" s="4"/>
      <c r="C64" s="34"/>
      <c r="D64" s="8"/>
      <c r="E64" s="8"/>
      <c r="F64" s="8"/>
      <c r="G64" s="8"/>
      <c r="H64" s="16"/>
      <c r="I64" s="8"/>
      <c r="J64" s="8"/>
      <c r="K64" s="8"/>
      <c r="L64" s="8"/>
      <c r="M64" s="8"/>
      <c r="N64" s="8"/>
      <c r="O64" s="8"/>
      <c r="P64" s="8"/>
      <c r="Q64" s="8"/>
      <c r="R64" s="8"/>
      <c r="S64" s="5"/>
    </row>
    <row r="65" spans="1:19">
      <c r="A65" s="6"/>
      <c r="B65" s="4"/>
      <c r="C65" s="34"/>
      <c r="D65" s="8"/>
      <c r="E65" s="8"/>
      <c r="F65" s="8"/>
      <c r="G65" s="8"/>
      <c r="H65" s="8"/>
      <c r="I65" s="8"/>
      <c r="J65" s="8"/>
      <c r="K65" s="8"/>
      <c r="L65" s="8"/>
      <c r="M65" s="8"/>
      <c r="N65" s="8"/>
      <c r="O65" s="8"/>
      <c r="P65" s="8"/>
      <c r="Q65" s="8"/>
      <c r="R65" s="8"/>
      <c r="S65" s="5"/>
    </row>
    <row r="66" spans="1:19">
      <c r="A66" s="6"/>
      <c r="B66" s="4"/>
      <c r="C66" s="34"/>
      <c r="D66" s="8"/>
      <c r="E66" s="8"/>
      <c r="F66" s="8"/>
      <c r="G66" s="8"/>
      <c r="H66" s="8"/>
      <c r="I66" s="8"/>
      <c r="J66" s="8"/>
      <c r="K66" s="8"/>
      <c r="L66" s="8"/>
      <c r="M66" s="8"/>
      <c r="N66" s="8"/>
      <c r="O66" s="8"/>
      <c r="P66" s="8"/>
      <c r="Q66" s="8"/>
      <c r="R66" s="8"/>
      <c r="S66" s="5"/>
    </row>
    <row r="67" spans="1:19">
      <c r="A67" s="6"/>
      <c r="B67" s="4"/>
      <c r="C67" s="9"/>
      <c r="D67" s="4"/>
      <c r="E67" s="16"/>
      <c r="F67" s="16"/>
      <c r="G67" s="16"/>
      <c r="H67" s="16"/>
      <c r="I67" s="16"/>
      <c r="J67" s="16"/>
      <c r="K67" s="16"/>
      <c r="L67" s="16"/>
      <c r="M67" s="16"/>
      <c r="N67" s="16"/>
      <c r="O67" s="16"/>
      <c r="P67" s="16"/>
      <c r="Q67" s="16"/>
      <c r="R67" s="8"/>
      <c r="S67" s="5"/>
    </row>
    <row r="68" spans="1:19">
      <c r="A68" s="6"/>
      <c r="B68" s="4"/>
      <c r="C68" s="9"/>
      <c r="D68" s="4"/>
      <c r="E68" s="16"/>
      <c r="F68" s="16"/>
      <c r="G68" s="16"/>
      <c r="H68" s="16"/>
      <c r="I68" s="16"/>
      <c r="J68" s="16"/>
      <c r="K68" s="16"/>
      <c r="L68" s="16"/>
      <c r="M68" s="16"/>
      <c r="N68" s="16"/>
      <c r="O68" s="16"/>
      <c r="P68" s="16"/>
      <c r="Q68" s="16"/>
      <c r="R68" s="8"/>
      <c r="S68" s="5"/>
    </row>
    <row r="69" spans="1:19">
      <c r="A69" s="6"/>
      <c r="B69" s="4"/>
      <c r="C69" s="9"/>
      <c r="D69" s="4"/>
      <c r="E69" s="8"/>
      <c r="F69" s="8"/>
      <c r="G69" s="8"/>
      <c r="H69" s="8"/>
      <c r="I69" s="8"/>
      <c r="J69" s="8"/>
      <c r="K69" s="8"/>
      <c r="L69" s="8"/>
      <c r="M69" s="8"/>
      <c r="N69" s="8"/>
      <c r="O69" s="8"/>
      <c r="P69" s="8"/>
      <c r="Q69" s="8"/>
      <c r="R69" s="8"/>
      <c r="S69" s="5"/>
    </row>
    <row r="70" spans="1:19">
      <c r="A70" s="4"/>
      <c r="B70" s="4"/>
      <c r="C70" s="9"/>
      <c r="D70" s="4"/>
      <c r="E70" s="7"/>
      <c r="F70" s="4"/>
      <c r="G70" s="4"/>
      <c r="H70" s="8"/>
      <c r="I70" s="4"/>
      <c r="J70" s="4"/>
      <c r="K70" s="4"/>
      <c r="L70" s="4"/>
      <c r="M70" s="4"/>
      <c r="N70" s="4"/>
      <c r="O70" s="4"/>
      <c r="P70" s="4"/>
      <c r="Q70" s="4"/>
      <c r="R70" s="4"/>
      <c r="S70" s="5"/>
    </row>
    <row r="71" spans="1:19">
      <c r="A71" s="4"/>
      <c r="B71" s="4"/>
      <c r="C71" s="9"/>
      <c r="D71" s="4"/>
      <c r="E71" s="4"/>
      <c r="F71" s="4"/>
      <c r="G71" s="4"/>
      <c r="H71" s="8"/>
      <c r="I71" s="4"/>
      <c r="J71" s="4"/>
      <c r="K71" s="4"/>
      <c r="L71" s="4"/>
      <c r="M71" s="4"/>
      <c r="N71" s="4"/>
      <c r="O71" s="4"/>
      <c r="P71" s="4"/>
      <c r="Q71" s="4"/>
      <c r="R71" s="4"/>
    </row>
    <row r="72" spans="1:19">
      <c r="A72" s="4"/>
      <c r="B72" s="4"/>
      <c r="C72" s="9"/>
      <c r="D72" s="4"/>
      <c r="E72" s="8"/>
      <c r="F72" s="4"/>
      <c r="G72" s="4"/>
      <c r="H72" s="8"/>
      <c r="I72" s="4"/>
      <c r="J72" s="4"/>
      <c r="K72" s="4"/>
      <c r="L72" s="4"/>
      <c r="M72" s="4"/>
      <c r="N72" s="4"/>
      <c r="O72" s="4"/>
      <c r="P72" s="4"/>
      <c r="Q72" s="4"/>
      <c r="R72" s="4"/>
    </row>
    <row r="73" spans="1:19">
      <c r="A73" s="4"/>
      <c r="B73" s="4"/>
      <c r="C73" s="9"/>
      <c r="D73" s="4"/>
      <c r="E73" s="8"/>
      <c r="F73" s="4"/>
      <c r="G73" s="4"/>
      <c r="H73" s="8"/>
      <c r="I73" s="4"/>
      <c r="J73" s="4"/>
      <c r="K73" s="4"/>
      <c r="L73" s="4"/>
      <c r="M73" s="4"/>
      <c r="N73" s="4"/>
      <c r="O73" s="4"/>
      <c r="P73" s="4"/>
      <c r="Q73" s="4"/>
      <c r="R73" s="4"/>
    </row>
    <row r="74" spans="1:19">
      <c r="A74" s="4"/>
      <c r="B74" s="4"/>
      <c r="C74" s="34"/>
      <c r="D74" s="4"/>
      <c r="E74" s="4"/>
      <c r="F74" s="4"/>
      <c r="G74" s="4"/>
      <c r="H74" s="4"/>
      <c r="I74" s="4"/>
      <c r="J74" s="4"/>
      <c r="K74" s="4"/>
      <c r="L74" s="4"/>
      <c r="M74" s="4"/>
      <c r="N74" s="4"/>
      <c r="O74" s="4"/>
      <c r="P74" s="4"/>
      <c r="Q74" s="4"/>
      <c r="R74" s="4"/>
    </row>
    <row r="75" spans="1:19">
      <c r="A75" s="6"/>
      <c r="B75" s="4"/>
      <c r="C75" s="34"/>
      <c r="D75" s="8"/>
      <c r="E75" s="8"/>
      <c r="F75" s="8"/>
      <c r="G75" s="8"/>
      <c r="H75" s="8"/>
      <c r="I75" s="4"/>
      <c r="J75" s="4"/>
      <c r="K75" s="4"/>
      <c r="L75" s="4"/>
      <c r="M75" s="4"/>
      <c r="N75" s="4"/>
      <c r="O75" s="4"/>
      <c r="P75" s="4"/>
      <c r="Q75" s="4"/>
      <c r="R75" s="4"/>
    </row>
    <row r="76" spans="1:19">
      <c r="A76" s="6"/>
      <c r="B76" s="4"/>
      <c r="C76" s="34"/>
      <c r="D76" s="8"/>
      <c r="E76" s="8"/>
      <c r="F76" s="8"/>
      <c r="G76" s="8"/>
      <c r="H76" s="8"/>
      <c r="I76" s="4"/>
      <c r="J76" s="4"/>
      <c r="K76" s="4"/>
      <c r="L76" s="4"/>
      <c r="M76" s="4"/>
      <c r="N76" s="4"/>
      <c r="O76" s="4"/>
      <c r="P76" s="4"/>
      <c r="Q76" s="4"/>
      <c r="R76" s="4"/>
    </row>
    <row r="77" spans="1:19">
      <c r="A77" s="6"/>
      <c r="B77" s="4"/>
      <c r="C77" s="34"/>
      <c r="D77" s="8"/>
      <c r="E77" s="8"/>
      <c r="F77" s="8"/>
      <c r="G77" s="8"/>
      <c r="H77" s="8"/>
      <c r="I77" s="4"/>
      <c r="J77" s="4"/>
      <c r="K77" s="4"/>
      <c r="L77" s="4"/>
      <c r="M77" s="4"/>
      <c r="N77" s="4"/>
      <c r="O77" s="4"/>
      <c r="P77" s="4"/>
      <c r="Q77" s="4"/>
      <c r="R77" s="4"/>
    </row>
    <row r="78" spans="1:19">
      <c r="A78" s="6"/>
      <c r="B78" s="4"/>
      <c r="C78" s="9"/>
      <c r="D78" s="4"/>
      <c r="E78" s="8"/>
      <c r="F78" s="4"/>
      <c r="G78" s="4"/>
      <c r="H78" s="8"/>
      <c r="I78" s="4"/>
      <c r="J78" s="4"/>
      <c r="K78" s="4"/>
      <c r="L78" s="4"/>
      <c r="M78" s="4"/>
      <c r="N78" s="4"/>
      <c r="O78" s="4"/>
      <c r="P78" s="4"/>
      <c r="Q78" s="4"/>
      <c r="R78" s="4"/>
    </row>
    <row r="79" spans="1:19">
      <c r="A79" s="4"/>
      <c r="B79" s="4"/>
      <c r="C79" s="9"/>
      <c r="D79" s="4"/>
      <c r="E79" s="4"/>
      <c r="F79" s="4"/>
      <c r="G79" s="4"/>
      <c r="H79" s="4"/>
      <c r="I79" s="4"/>
      <c r="J79" s="4"/>
      <c r="K79" s="4"/>
      <c r="L79" s="4"/>
      <c r="M79" s="4"/>
      <c r="N79" s="4"/>
      <c r="O79" s="4"/>
      <c r="P79" s="4"/>
      <c r="Q79" s="4"/>
      <c r="R79" s="4"/>
    </row>
    <row r="80" spans="1:19">
      <c r="A80" s="4"/>
      <c r="B80" s="4"/>
      <c r="C80" s="9"/>
      <c r="D80" s="4"/>
      <c r="E80" s="4"/>
      <c r="F80" s="4"/>
      <c r="G80" s="4"/>
      <c r="H80" s="4"/>
      <c r="I80" s="4"/>
      <c r="J80" s="4"/>
      <c r="K80" s="4"/>
      <c r="L80" s="4"/>
      <c r="M80" s="4"/>
      <c r="N80" s="4"/>
      <c r="O80" s="4"/>
      <c r="P80" s="4"/>
      <c r="Q80" s="4"/>
      <c r="R80" s="4"/>
    </row>
    <row r="81" spans="1:18">
      <c r="A81" s="4"/>
      <c r="B81" s="4"/>
      <c r="C81" s="9"/>
      <c r="D81" s="4"/>
      <c r="E81" s="4"/>
      <c r="F81" s="4"/>
      <c r="G81" s="4"/>
      <c r="H81" s="4"/>
      <c r="I81" s="4"/>
      <c r="J81" s="4"/>
      <c r="K81" s="4"/>
      <c r="L81" s="4"/>
      <c r="M81" s="4"/>
      <c r="N81" s="4"/>
      <c r="O81" s="4"/>
      <c r="P81" s="4"/>
      <c r="Q81" s="4"/>
      <c r="R81" s="4"/>
    </row>
    <row r="82" spans="1:18">
      <c r="A82" s="4"/>
      <c r="B82" s="4"/>
      <c r="C82" s="9"/>
      <c r="D82" s="4"/>
      <c r="E82" s="4"/>
      <c r="F82" s="4"/>
      <c r="G82" s="4"/>
      <c r="H82" s="4"/>
      <c r="I82" s="4"/>
      <c r="J82" s="4"/>
      <c r="K82" s="4"/>
      <c r="L82" s="4"/>
      <c r="M82" s="4"/>
      <c r="N82" s="4"/>
      <c r="O82" s="4"/>
      <c r="P82" s="4"/>
      <c r="Q82" s="4"/>
      <c r="R82" s="4"/>
    </row>
    <row r="83" spans="1:18">
      <c r="A83" s="4"/>
      <c r="B83" s="4"/>
      <c r="C83" s="9"/>
      <c r="D83" s="4"/>
      <c r="E83" s="4"/>
      <c r="F83" s="4"/>
      <c r="G83" s="4"/>
      <c r="H83" s="4"/>
      <c r="I83" s="4"/>
      <c r="J83" s="4"/>
      <c r="K83" s="4"/>
      <c r="L83" s="4"/>
      <c r="M83" s="4"/>
      <c r="N83" s="4"/>
      <c r="O83" s="4"/>
      <c r="P83" s="4"/>
      <c r="Q83" s="4"/>
      <c r="R83" s="4"/>
    </row>
    <row r="84" spans="1:18">
      <c r="A84" s="4"/>
      <c r="B84" s="4"/>
      <c r="C84" s="9"/>
      <c r="D84" s="4"/>
      <c r="E84" s="4"/>
      <c r="F84" s="4"/>
      <c r="G84" s="4"/>
      <c r="H84" s="4"/>
      <c r="I84" s="4"/>
      <c r="J84" s="4"/>
      <c r="K84" s="4"/>
      <c r="L84" s="4"/>
      <c r="M84" s="4"/>
      <c r="N84" s="4"/>
      <c r="O84" s="4"/>
      <c r="P84" s="4"/>
      <c r="Q84" s="4"/>
      <c r="R84" s="4"/>
    </row>
    <row r="85" spans="1:18">
      <c r="A85" s="4"/>
      <c r="B85" s="4"/>
      <c r="C85" s="9"/>
      <c r="D85" s="4"/>
      <c r="E85" s="4"/>
      <c r="F85" s="4"/>
      <c r="G85" s="4"/>
      <c r="H85" s="4"/>
      <c r="I85" s="4"/>
      <c r="J85" s="4"/>
      <c r="K85" s="4"/>
      <c r="L85" s="4"/>
      <c r="M85" s="4"/>
      <c r="N85" s="4"/>
      <c r="O85" s="4"/>
      <c r="P85" s="4"/>
      <c r="Q85" s="4"/>
      <c r="R85" s="4"/>
    </row>
    <row r="86" spans="1:18">
      <c r="A86" s="4"/>
      <c r="B86" s="4"/>
      <c r="C86" s="9"/>
      <c r="D86" s="4"/>
      <c r="E86" s="4"/>
      <c r="F86" s="4"/>
      <c r="G86" s="4"/>
      <c r="H86" s="4"/>
      <c r="I86" s="4"/>
      <c r="J86" s="4"/>
      <c r="K86" s="4"/>
      <c r="L86" s="4"/>
      <c r="M86" s="4"/>
      <c r="N86" s="4"/>
      <c r="O86" s="4"/>
      <c r="P86" s="4"/>
      <c r="Q86" s="4"/>
      <c r="R86" s="4"/>
    </row>
    <row r="87" spans="1:18">
      <c r="A87" s="4"/>
      <c r="B87" s="4"/>
      <c r="C87" s="9"/>
      <c r="D87" s="4"/>
      <c r="E87" s="4"/>
      <c r="F87" s="4"/>
      <c r="G87" s="4"/>
      <c r="H87" s="4"/>
      <c r="I87" s="4"/>
      <c r="J87" s="4"/>
      <c r="K87" s="4"/>
      <c r="L87" s="4"/>
      <c r="M87" s="4"/>
      <c r="N87" s="4"/>
      <c r="O87" s="4"/>
      <c r="P87" s="4"/>
      <c r="Q87" s="4"/>
      <c r="R87" s="4"/>
    </row>
    <row r="88" spans="1:18">
      <c r="A88" s="4"/>
      <c r="B88" s="4"/>
      <c r="C88" s="9"/>
      <c r="D88" s="4"/>
      <c r="E88" s="4"/>
      <c r="F88" s="4"/>
      <c r="G88" s="4"/>
      <c r="H88" s="4"/>
      <c r="I88" s="4"/>
      <c r="J88" s="4"/>
      <c r="K88" s="4"/>
      <c r="L88" s="4"/>
      <c r="M88" s="4"/>
      <c r="N88" s="4"/>
      <c r="O88" s="4"/>
      <c r="P88" s="4"/>
      <c r="Q88" s="4"/>
      <c r="R88" s="4"/>
    </row>
    <row r="89" spans="1:18">
      <c r="A89" s="4"/>
      <c r="B89" s="4"/>
      <c r="C89" s="9"/>
      <c r="D89" s="4"/>
      <c r="E89" s="4"/>
      <c r="F89" s="4"/>
      <c r="G89" s="4"/>
      <c r="H89" s="4"/>
      <c r="I89" s="4"/>
      <c r="J89" s="4"/>
      <c r="K89" s="4"/>
      <c r="L89" s="4"/>
      <c r="M89" s="4"/>
      <c r="N89" s="4"/>
      <c r="O89" s="4"/>
      <c r="P89" s="4"/>
      <c r="Q89" s="4"/>
      <c r="R89" s="4"/>
    </row>
    <row r="90" spans="1:18">
      <c r="A90" s="4"/>
      <c r="B90" s="4"/>
      <c r="C90" s="9"/>
      <c r="D90" s="4"/>
      <c r="E90" s="4"/>
      <c r="F90" s="4"/>
      <c r="G90" s="4"/>
      <c r="H90" s="4"/>
      <c r="I90" s="4"/>
      <c r="J90" s="4"/>
      <c r="K90" s="4"/>
      <c r="L90" s="4"/>
      <c r="M90" s="4"/>
      <c r="N90" s="4"/>
      <c r="O90" s="4"/>
      <c r="P90" s="4"/>
      <c r="Q90" s="4"/>
      <c r="R90" s="4"/>
    </row>
    <row r="91" spans="1:18">
      <c r="A91" s="4"/>
      <c r="B91" s="4"/>
      <c r="C91" s="9"/>
      <c r="D91" s="4"/>
      <c r="E91" s="4"/>
      <c r="F91" s="4"/>
      <c r="G91" s="4"/>
      <c r="H91" s="4"/>
      <c r="I91" s="4"/>
      <c r="J91" s="4"/>
      <c r="K91" s="4"/>
      <c r="L91" s="4"/>
      <c r="M91" s="4"/>
      <c r="N91" s="4"/>
      <c r="O91" s="4"/>
      <c r="P91" s="4"/>
      <c r="Q91" s="4"/>
      <c r="R91" s="4"/>
    </row>
    <row r="92" spans="1:18">
      <c r="A92" s="4"/>
      <c r="B92" s="4"/>
      <c r="C92" s="9"/>
      <c r="D92" s="4"/>
      <c r="E92" s="4"/>
      <c r="F92" s="4"/>
      <c r="G92" s="4"/>
      <c r="H92" s="4"/>
      <c r="I92" s="4"/>
      <c r="J92" s="4"/>
      <c r="K92" s="4"/>
      <c r="L92" s="4"/>
      <c r="M92" s="4"/>
      <c r="N92" s="4"/>
      <c r="O92" s="4"/>
      <c r="P92" s="4"/>
      <c r="Q92" s="4"/>
      <c r="R92" s="4"/>
    </row>
    <row r="93" spans="1:18">
      <c r="A93" s="4"/>
      <c r="B93" s="4"/>
      <c r="C93" s="9"/>
      <c r="D93" s="4"/>
      <c r="E93" s="4"/>
      <c r="F93" s="4"/>
      <c r="G93" s="4"/>
      <c r="H93" s="4"/>
      <c r="I93" s="4"/>
      <c r="J93" s="4"/>
      <c r="K93" s="4"/>
      <c r="L93" s="4"/>
      <c r="M93" s="4"/>
      <c r="N93" s="4"/>
      <c r="O93" s="4"/>
      <c r="P93" s="4"/>
      <c r="Q93" s="4"/>
      <c r="R93" s="4"/>
    </row>
    <row r="94" spans="1:18">
      <c r="A94" s="4"/>
      <c r="B94" s="4"/>
      <c r="C94" s="9"/>
      <c r="D94" s="4"/>
      <c r="E94" s="4"/>
      <c r="F94" s="4"/>
      <c r="G94" s="4"/>
      <c r="H94" s="4"/>
      <c r="I94" s="4"/>
      <c r="J94" s="4"/>
      <c r="K94" s="4"/>
      <c r="L94" s="4"/>
      <c r="M94" s="4"/>
      <c r="N94" s="4"/>
      <c r="O94" s="4"/>
      <c r="P94" s="4"/>
      <c r="Q94" s="4"/>
      <c r="R94" s="4"/>
    </row>
    <row r="95" spans="1:18">
      <c r="A95" s="4"/>
      <c r="B95" s="4"/>
      <c r="C95" s="9"/>
      <c r="D95" s="4"/>
      <c r="E95" s="4"/>
      <c r="F95" s="4"/>
      <c r="G95" s="4"/>
      <c r="H95" s="4"/>
      <c r="I95" s="4"/>
      <c r="J95" s="4"/>
      <c r="K95" s="4"/>
      <c r="L95" s="4"/>
      <c r="M95" s="4"/>
      <c r="N95" s="4"/>
      <c r="O95" s="4"/>
      <c r="P95" s="4"/>
      <c r="Q95" s="4"/>
      <c r="R95" s="4"/>
    </row>
    <row r="96" spans="1:18">
      <c r="A96" s="4"/>
      <c r="B96" s="4"/>
      <c r="C96" s="9"/>
      <c r="D96" s="4"/>
      <c r="E96" s="4"/>
      <c r="F96" s="4"/>
      <c r="G96" s="4"/>
      <c r="H96" s="4"/>
      <c r="I96" s="4"/>
      <c r="J96" s="4"/>
      <c r="K96" s="4"/>
      <c r="L96" s="4"/>
      <c r="M96" s="4"/>
      <c r="N96" s="4"/>
      <c r="O96" s="4"/>
      <c r="P96" s="4"/>
      <c r="Q96" s="4"/>
      <c r="R96" s="4"/>
    </row>
    <row r="97" spans="1:18">
      <c r="A97" s="4"/>
      <c r="B97" s="4"/>
      <c r="C97" s="9"/>
      <c r="D97" s="4"/>
      <c r="E97" s="4"/>
      <c r="F97" s="4"/>
      <c r="G97" s="4"/>
      <c r="H97" s="4"/>
      <c r="I97" s="4"/>
      <c r="J97" s="4"/>
      <c r="K97" s="4"/>
      <c r="L97" s="4"/>
      <c r="M97" s="4"/>
      <c r="N97" s="4"/>
      <c r="O97" s="4"/>
      <c r="P97" s="4"/>
      <c r="Q97" s="4"/>
      <c r="R97" s="4"/>
    </row>
    <row r="98" spans="1:18">
      <c r="A98" s="4"/>
      <c r="B98" s="4"/>
      <c r="C98" s="9"/>
      <c r="D98" s="4"/>
      <c r="E98" s="4"/>
      <c r="F98" s="4"/>
      <c r="G98" s="4"/>
      <c r="H98" s="4"/>
      <c r="I98" s="4"/>
      <c r="J98" s="4"/>
      <c r="K98" s="4"/>
      <c r="L98" s="4"/>
      <c r="M98" s="4"/>
      <c r="N98" s="4"/>
      <c r="O98" s="4"/>
      <c r="P98" s="4"/>
      <c r="Q98" s="4"/>
      <c r="R98" s="4"/>
    </row>
    <row r="99" spans="1:18">
      <c r="A99" s="4"/>
      <c r="B99" s="4"/>
      <c r="C99" s="9"/>
      <c r="D99" s="4"/>
      <c r="E99" s="4"/>
      <c r="F99" s="4"/>
      <c r="G99" s="4"/>
      <c r="H99" s="4"/>
      <c r="I99" s="4"/>
      <c r="J99" s="4"/>
      <c r="K99" s="4"/>
      <c r="L99" s="4"/>
      <c r="M99" s="4"/>
      <c r="N99" s="4"/>
      <c r="O99" s="4"/>
      <c r="P99" s="4"/>
      <c r="Q99" s="4"/>
      <c r="R99" s="4"/>
    </row>
    <row r="100" spans="1:18">
      <c r="A100" s="4"/>
      <c r="B100" s="4"/>
      <c r="C100" s="9"/>
      <c r="D100" s="4"/>
      <c r="E100" s="4"/>
      <c r="F100" s="4"/>
      <c r="G100" s="4"/>
      <c r="H100" s="4"/>
      <c r="I100" s="4"/>
      <c r="J100" s="4"/>
      <c r="K100" s="4"/>
      <c r="L100" s="4"/>
      <c r="M100" s="4"/>
      <c r="N100" s="4"/>
      <c r="O100" s="4"/>
      <c r="P100" s="4"/>
      <c r="Q100" s="4"/>
      <c r="R100" s="4"/>
    </row>
    <row r="101" spans="1:18">
      <c r="A101" s="4"/>
      <c r="B101" s="4"/>
      <c r="C101" s="9"/>
      <c r="D101" s="4"/>
      <c r="E101" s="4"/>
      <c r="F101" s="4"/>
      <c r="G101" s="4"/>
      <c r="H101" s="4"/>
      <c r="I101" s="4"/>
      <c r="J101" s="4"/>
      <c r="K101" s="4"/>
      <c r="L101" s="4"/>
      <c r="M101" s="4"/>
      <c r="N101" s="4"/>
      <c r="O101" s="4"/>
      <c r="P101" s="4"/>
      <c r="Q101" s="4"/>
      <c r="R101" s="4"/>
    </row>
    <row r="102" spans="1:18">
      <c r="A102" s="4"/>
      <c r="B102" s="4"/>
      <c r="C102" s="9"/>
      <c r="D102" s="4"/>
      <c r="E102" s="4"/>
      <c r="F102" s="4"/>
      <c r="G102" s="4"/>
      <c r="H102" s="4"/>
      <c r="I102" s="4"/>
      <c r="J102" s="4"/>
      <c r="K102" s="4"/>
      <c r="L102" s="4"/>
      <c r="M102" s="4"/>
      <c r="N102" s="4"/>
      <c r="O102" s="4"/>
      <c r="P102" s="4"/>
      <c r="Q102" s="4"/>
      <c r="R102" s="4"/>
    </row>
    <row r="103" spans="1:18">
      <c r="A103" s="4"/>
      <c r="B103" s="4"/>
      <c r="C103" s="9"/>
      <c r="D103" s="4"/>
      <c r="E103" s="4"/>
      <c r="F103" s="4"/>
      <c r="G103" s="4"/>
      <c r="H103" s="4"/>
      <c r="I103" s="4"/>
      <c r="J103" s="4"/>
      <c r="K103" s="4"/>
      <c r="L103" s="4"/>
      <c r="M103" s="4"/>
      <c r="N103" s="4"/>
      <c r="O103" s="4"/>
      <c r="P103" s="4"/>
      <c r="Q103" s="4"/>
      <c r="R103" s="4"/>
    </row>
    <row r="104" spans="1:18">
      <c r="A104" s="4"/>
      <c r="B104" s="4"/>
      <c r="C104" s="9"/>
      <c r="D104" s="4"/>
      <c r="E104" s="4"/>
      <c r="F104" s="4"/>
      <c r="G104" s="4"/>
      <c r="H104" s="4"/>
      <c r="I104" s="4"/>
      <c r="J104" s="4"/>
      <c r="K104" s="4"/>
      <c r="L104" s="4"/>
      <c r="M104" s="4"/>
      <c r="N104" s="4"/>
      <c r="O104" s="4"/>
      <c r="P104" s="4"/>
      <c r="Q104" s="4"/>
      <c r="R104" s="4"/>
    </row>
    <row r="105" spans="1:18">
      <c r="A105" s="4"/>
      <c r="B105" s="4"/>
      <c r="C105" s="9"/>
      <c r="D105" s="4"/>
      <c r="E105" s="4"/>
      <c r="F105" s="4"/>
      <c r="G105" s="4"/>
      <c r="H105" s="4"/>
      <c r="I105" s="4"/>
      <c r="J105" s="4"/>
      <c r="K105" s="4"/>
      <c r="L105" s="4"/>
      <c r="M105" s="4"/>
      <c r="N105" s="4"/>
      <c r="O105" s="4"/>
      <c r="P105" s="4"/>
      <c r="Q105" s="4"/>
      <c r="R105" s="4"/>
    </row>
    <row r="106" spans="1:18">
      <c r="A106" s="4"/>
      <c r="B106" s="4"/>
      <c r="C106" s="9"/>
      <c r="D106" s="4"/>
      <c r="E106" s="4"/>
      <c r="F106" s="4"/>
      <c r="G106" s="4"/>
      <c r="H106" s="4"/>
      <c r="I106" s="4"/>
      <c r="J106" s="4"/>
      <c r="K106" s="4"/>
      <c r="L106" s="4"/>
      <c r="M106" s="4"/>
      <c r="N106" s="4"/>
      <c r="O106" s="4"/>
      <c r="P106" s="4"/>
      <c r="Q106" s="4"/>
      <c r="R106" s="4"/>
    </row>
    <row r="107" spans="1:18">
      <c r="A107" s="4"/>
      <c r="B107" s="4"/>
      <c r="C107" s="9"/>
      <c r="D107" s="4"/>
      <c r="E107" s="4"/>
      <c r="F107" s="4"/>
      <c r="G107" s="4"/>
      <c r="H107" s="4"/>
      <c r="I107" s="4"/>
      <c r="J107" s="4"/>
      <c r="K107" s="4"/>
      <c r="L107" s="4"/>
      <c r="M107" s="4"/>
      <c r="N107" s="4"/>
      <c r="O107" s="4"/>
      <c r="P107" s="4"/>
      <c r="Q107" s="4"/>
      <c r="R107" s="4"/>
    </row>
    <row r="108" spans="1:18">
      <c r="A108" s="4"/>
      <c r="B108" s="4"/>
      <c r="C108" s="9"/>
      <c r="D108" s="4"/>
      <c r="E108" s="4"/>
      <c r="F108" s="4"/>
      <c r="G108" s="4"/>
      <c r="H108" s="4"/>
      <c r="I108" s="4"/>
      <c r="J108" s="4"/>
      <c r="K108" s="4"/>
      <c r="L108" s="4"/>
      <c r="M108" s="4"/>
      <c r="N108" s="4"/>
      <c r="O108" s="4"/>
      <c r="P108" s="4"/>
      <c r="Q108" s="4"/>
      <c r="R108" s="4"/>
    </row>
    <row r="109" spans="1:18">
      <c r="A109" s="4"/>
      <c r="B109" s="4"/>
      <c r="C109" s="9"/>
      <c r="D109" s="4"/>
      <c r="E109" s="4"/>
      <c r="F109" s="4"/>
      <c r="G109" s="4"/>
      <c r="H109" s="4"/>
      <c r="I109" s="4"/>
      <c r="J109" s="4"/>
      <c r="K109" s="4"/>
      <c r="L109" s="4"/>
      <c r="M109" s="4"/>
      <c r="N109" s="4"/>
      <c r="O109" s="4"/>
      <c r="P109" s="4"/>
      <c r="Q109" s="4"/>
      <c r="R109" s="4"/>
    </row>
    <row r="110" spans="1:18">
      <c r="A110" s="4"/>
      <c r="B110" s="4"/>
      <c r="C110" s="9"/>
      <c r="D110" s="4"/>
      <c r="E110" s="4"/>
      <c r="F110" s="4"/>
      <c r="G110" s="4"/>
      <c r="H110" s="4"/>
      <c r="I110" s="4"/>
      <c r="J110" s="4"/>
      <c r="K110" s="4"/>
      <c r="L110" s="4"/>
      <c r="M110" s="4"/>
      <c r="N110" s="4"/>
      <c r="O110" s="4"/>
      <c r="P110" s="4"/>
      <c r="Q110" s="4"/>
      <c r="R110" s="4"/>
    </row>
    <row r="111" spans="1:18">
      <c r="A111" s="4"/>
      <c r="B111" s="4"/>
      <c r="C111" s="9"/>
      <c r="D111" s="4"/>
      <c r="E111" s="4"/>
      <c r="F111" s="4"/>
      <c r="G111" s="4"/>
      <c r="H111" s="4"/>
      <c r="I111" s="4"/>
      <c r="J111" s="4"/>
      <c r="K111" s="4"/>
      <c r="L111" s="4"/>
      <c r="M111" s="4"/>
      <c r="N111" s="4"/>
      <c r="O111" s="4"/>
      <c r="P111" s="4"/>
      <c r="Q111" s="4"/>
      <c r="R111" s="4"/>
    </row>
    <row r="112" spans="1:18">
      <c r="A112" s="4"/>
      <c r="B112" s="4"/>
      <c r="C112" s="9"/>
      <c r="D112" s="4"/>
      <c r="E112" s="4"/>
      <c r="F112" s="4"/>
      <c r="G112" s="4"/>
      <c r="H112" s="4"/>
      <c r="I112" s="4"/>
      <c r="J112" s="4"/>
      <c r="K112" s="4"/>
      <c r="L112" s="4"/>
      <c r="M112" s="4"/>
      <c r="N112" s="4"/>
      <c r="O112" s="4"/>
      <c r="P112" s="4"/>
      <c r="Q112" s="4"/>
      <c r="R112" s="4"/>
    </row>
    <row r="113" spans="1:18">
      <c r="A113" s="4"/>
      <c r="B113" s="4"/>
      <c r="C113" s="9"/>
      <c r="D113" s="4"/>
      <c r="E113" s="4"/>
      <c r="F113" s="4"/>
      <c r="G113" s="4"/>
      <c r="H113" s="4"/>
      <c r="I113" s="4"/>
      <c r="J113" s="4"/>
      <c r="K113" s="4"/>
      <c r="L113" s="4"/>
      <c r="M113" s="4"/>
      <c r="N113" s="4"/>
      <c r="O113" s="4"/>
      <c r="P113" s="4"/>
      <c r="Q113" s="4"/>
      <c r="R113" s="4"/>
    </row>
    <row r="114" spans="1:18">
      <c r="A114" s="4"/>
      <c r="B114" s="4"/>
      <c r="C114" s="9"/>
      <c r="D114" s="4"/>
      <c r="E114" s="4"/>
      <c r="F114" s="4"/>
      <c r="G114" s="4"/>
      <c r="H114" s="4"/>
      <c r="I114" s="4"/>
      <c r="J114" s="4"/>
      <c r="K114" s="4"/>
      <c r="L114" s="4"/>
      <c r="M114" s="4"/>
      <c r="N114" s="4"/>
      <c r="O114" s="4"/>
      <c r="P114" s="4"/>
      <c r="Q114" s="4"/>
      <c r="R114" s="4"/>
    </row>
    <row r="115" spans="1:18">
      <c r="A115" s="4"/>
      <c r="B115" s="4"/>
      <c r="C115" s="9"/>
      <c r="D115" s="4"/>
      <c r="E115" s="4"/>
      <c r="F115" s="4"/>
      <c r="G115" s="4"/>
      <c r="H115" s="4"/>
      <c r="I115" s="4"/>
      <c r="J115" s="4"/>
      <c r="K115" s="4"/>
      <c r="L115" s="4"/>
      <c r="M115" s="4"/>
      <c r="N115" s="4"/>
      <c r="O115" s="4"/>
      <c r="P115" s="4"/>
      <c r="Q115" s="4"/>
      <c r="R115" s="4"/>
    </row>
    <row r="116" spans="1:18">
      <c r="A116" s="4"/>
      <c r="B116" s="4"/>
      <c r="C116" s="9"/>
      <c r="D116" s="4"/>
      <c r="E116" s="4"/>
      <c r="F116" s="4"/>
      <c r="G116" s="4"/>
      <c r="H116" s="4"/>
      <c r="I116" s="4"/>
      <c r="J116" s="4"/>
      <c r="K116" s="4"/>
      <c r="L116" s="4"/>
      <c r="M116" s="4"/>
      <c r="N116" s="4"/>
      <c r="O116" s="4"/>
      <c r="P116" s="4"/>
      <c r="Q116" s="4"/>
      <c r="R116" s="4"/>
    </row>
    <row r="117" spans="1:18">
      <c r="A117" s="4"/>
      <c r="B117" s="4"/>
      <c r="C117" s="9"/>
      <c r="D117" s="4"/>
      <c r="E117" s="4"/>
      <c r="F117" s="4"/>
      <c r="G117" s="4"/>
      <c r="H117" s="4"/>
      <c r="I117" s="4"/>
      <c r="J117" s="4"/>
      <c r="K117" s="4"/>
      <c r="L117" s="4"/>
      <c r="M117" s="4"/>
      <c r="N117" s="4"/>
      <c r="O117" s="4"/>
      <c r="P117" s="4"/>
      <c r="Q117" s="4"/>
      <c r="R117" s="4"/>
    </row>
    <row r="118" spans="1:18">
      <c r="A118" s="4"/>
      <c r="B118" s="4"/>
      <c r="C118" s="9"/>
      <c r="D118" s="4"/>
      <c r="E118" s="4"/>
      <c r="F118" s="4"/>
      <c r="G118" s="4"/>
      <c r="H118" s="4"/>
      <c r="I118" s="4"/>
      <c r="J118" s="4"/>
      <c r="K118" s="4"/>
      <c r="L118" s="4"/>
      <c r="M118" s="4"/>
      <c r="N118" s="4"/>
      <c r="O118" s="4"/>
      <c r="P118" s="4"/>
      <c r="Q118" s="4"/>
      <c r="R118" s="4"/>
    </row>
    <row r="119" spans="1:18">
      <c r="A119" s="4"/>
      <c r="B119" s="4"/>
      <c r="C119" s="9"/>
      <c r="D119" s="4"/>
      <c r="E119" s="4"/>
      <c r="F119" s="4"/>
      <c r="G119" s="4"/>
      <c r="H119" s="4"/>
      <c r="I119" s="4"/>
      <c r="J119" s="4"/>
      <c r="K119" s="4"/>
      <c r="L119" s="4"/>
      <c r="M119" s="4"/>
      <c r="N119" s="4"/>
      <c r="O119" s="4"/>
      <c r="P119" s="4"/>
      <c r="Q119" s="4"/>
      <c r="R119" s="4"/>
    </row>
    <row r="120" spans="1:18">
      <c r="A120" s="4"/>
      <c r="B120" s="4"/>
      <c r="C120" s="9"/>
      <c r="D120" s="4"/>
      <c r="E120" s="4"/>
      <c r="F120" s="4"/>
      <c r="G120" s="4"/>
      <c r="H120" s="4"/>
      <c r="I120" s="4"/>
      <c r="J120" s="4"/>
      <c r="K120" s="4"/>
      <c r="L120" s="4"/>
      <c r="M120" s="4"/>
      <c r="N120" s="4"/>
      <c r="O120" s="4"/>
      <c r="P120" s="4"/>
      <c r="Q120" s="4"/>
      <c r="R120" s="4"/>
    </row>
    <row r="121" spans="1:18">
      <c r="A121" s="4"/>
      <c r="B121" s="4"/>
      <c r="C121" s="9"/>
      <c r="D121" s="4"/>
      <c r="E121" s="4"/>
      <c r="F121" s="4"/>
      <c r="G121" s="4"/>
      <c r="H121" s="4"/>
      <c r="I121" s="4"/>
      <c r="J121" s="4"/>
      <c r="K121" s="4"/>
      <c r="L121" s="4"/>
      <c r="M121" s="4"/>
      <c r="N121" s="4"/>
      <c r="O121" s="4"/>
      <c r="P121" s="4"/>
      <c r="Q121" s="4"/>
      <c r="R121" s="4"/>
    </row>
    <row r="122" spans="1:18">
      <c r="A122" s="4"/>
      <c r="B122" s="4"/>
      <c r="C122" s="9"/>
      <c r="D122" s="4"/>
      <c r="E122" s="4"/>
      <c r="F122" s="4"/>
      <c r="G122" s="4"/>
      <c r="H122" s="4"/>
      <c r="I122" s="4"/>
      <c r="J122" s="4"/>
      <c r="K122" s="4"/>
      <c r="L122" s="4"/>
      <c r="M122" s="4"/>
      <c r="N122" s="4"/>
      <c r="O122" s="4"/>
      <c r="P122" s="4"/>
      <c r="Q122" s="4"/>
      <c r="R122" s="4"/>
    </row>
    <row r="123" spans="1:18">
      <c r="A123" s="4"/>
      <c r="B123" s="4"/>
      <c r="C123" s="9"/>
      <c r="D123" s="4"/>
      <c r="E123" s="4"/>
      <c r="F123" s="4"/>
      <c r="G123" s="4"/>
      <c r="H123" s="4"/>
      <c r="I123" s="4"/>
      <c r="J123" s="4"/>
      <c r="K123" s="4"/>
      <c r="L123" s="4"/>
      <c r="M123" s="4"/>
      <c r="N123" s="4"/>
      <c r="O123" s="4"/>
      <c r="P123" s="4"/>
      <c r="Q123" s="4"/>
      <c r="R123" s="4"/>
    </row>
    <row r="124" spans="1:18">
      <c r="A124" s="4"/>
      <c r="B124" s="4"/>
      <c r="C124" s="9"/>
      <c r="D124" s="4"/>
      <c r="E124" s="4"/>
      <c r="F124" s="4"/>
      <c r="G124" s="4"/>
      <c r="H124" s="4"/>
      <c r="I124" s="4"/>
      <c r="J124" s="4"/>
      <c r="K124" s="4"/>
      <c r="L124" s="4"/>
      <c r="M124" s="4"/>
      <c r="N124" s="4"/>
      <c r="O124" s="4"/>
      <c r="P124" s="4"/>
      <c r="Q124" s="4"/>
      <c r="R124" s="4"/>
    </row>
    <row r="125" spans="1:18">
      <c r="A125" s="4"/>
      <c r="B125" s="4"/>
      <c r="C125" s="9"/>
      <c r="D125" s="4"/>
      <c r="E125" s="4"/>
      <c r="F125" s="4"/>
      <c r="G125" s="4"/>
      <c r="H125" s="4"/>
      <c r="I125" s="4"/>
      <c r="J125" s="4"/>
      <c r="K125" s="4"/>
      <c r="L125" s="4"/>
      <c r="M125" s="4"/>
      <c r="N125" s="4"/>
      <c r="O125" s="4"/>
      <c r="P125" s="4"/>
      <c r="Q125" s="4"/>
      <c r="R125" s="4"/>
    </row>
    <row r="126" spans="1:18">
      <c r="A126" s="4"/>
      <c r="B126" s="4"/>
      <c r="C126" s="9"/>
      <c r="D126" s="4"/>
      <c r="E126" s="4"/>
      <c r="F126" s="4"/>
      <c r="G126" s="4"/>
      <c r="H126" s="4"/>
      <c r="I126" s="4"/>
      <c r="J126" s="4"/>
      <c r="K126" s="4"/>
      <c r="L126" s="4"/>
      <c r="M126" s="4"/>
      <c r="N126" s="4"/>
      <c r="O126" s="4"/>
      <c r="P126" s="4"/>
      <c r="Q126" s="4"/>
      <c r="R126" s="4"/>
    </row>
    <row r="127" spans="1:18">
      <c r="A127" s="4"/>
      <c r="B127" s="4"/>
      <c r="C127" s="9"/>
      <c r="D127" s="4"/>
      <c r="E127" s="4"/>
      <c r="F127" s="4"/>
      <c r="G127" s="4"/>
      <c r="H127" s="4"/>
      <c r="I127" s="4"/>
      <c r="J127" s="4"/>
      <c r="K127" s="4"/>
      <c r="L127" s="4"/>
      <c r="M127" s="4"/>
      <c r="N127" s="4"/>
      <c r="O127" s="4"/>
      <c r="P127" s="4"/>
      <c r="Q127" s="4"/>
      <c r="R127" s="4"/>
    </row>
    <row r="128" spans="1:18">
      <c r="A128" s="4"/>
      <c r="B128" s="4"/>
      <c r="C128" s="9"/>
      <c r="D128" s="4"/>
      <c r="E128" s="4"/>
      <c r="F128" s="4"/>
      <c r="G128" s="4"/>
      <c r="H128" s="4"/>
      <c r="I128" s="4"/>
      <c r="J128" s="4"/>
      <c r="K128" s="4"/>
      <c r="L128" s="4"/>
      <c r="M128" s="4"/>
      <c r="N128" s="4"/>
      <c r="O128" s="4"/>
      <c r="P128" s="4"/>
      <c r="Q128" s="4"/>
      <c r="R128" s="4"/>
    </row>
    <row r="129" spans="1:18">
      <c r="A129" s="4"/>
      <c r="B129" s="4"/>
      <c r="C129" s="9"/>
      <c r="D129" s="4"/>
      <c r="E129" s="4"/>
      <c r="F129" s="4"/>
      <c r="G129" s="4"/>
      <c r="H129" s="4"/>
      <c r="I129" s="4"/>
      <c r="J129" s="4"/>
      <c r="K129" s="4"/>
      <c r="L129" s="4"/>
      <c r="M129" s="4"/>
      <c r="N129" s="4"/>
      <c r="O129" s="4"/>
      <c r="P129" s="4"/>
      <c r="Q129" s="4"/>
      <c r="R129" s="4"/>
    </row>
    <row r="130" spans="1:18">
      <c r="A130" s="4"/>
      <c r="B130" s="4"/>
      <c r="C130" s="9"/>
      <c r="D130" s="4"/>
      <c r="E130" s="4"/>
      <c r="F130" s="4"/>
      <c r="G130" s="4"/>
      <c r="H130" s="4"/>
      <c r="I130" s="4"/>
      <c r="J130" s="4"/>
      <c r="K130" s="4"/>
      <c r="L130" s="4"/>
      <c r="M130" s="4"/>
      <c r="N130" s="4"/>
      <c r="O130" s="4"/>
      <c r="P130" s="4"/>
      <c r="Q130" s="4"/>
      <c r="R130" s="4"/>
    </row>
    <row r="131" spans="1:18">
      <c r="A131" s="4"/>
      <c r="B131" s="4"/>
      <c r="C131" s="9"/>
      <c r="D131" s="4"/>
      <c r="E131" s="4"/>
      <c r="F131" s="4"/>
      <c r="G131" s="4"/>
      <c r="H131" s="4"/>
      <c r="I131" s="4"/>
      <c r="J131" s="4"/>
      <c r="K131" s="4"/>
      <c r="L131" s="4"/>
      <c r="M131" s="4"/>
      <c r="N131" s="4"/>
      <c r="O131" s="4"/>
      <c r="P131" s="4"/>
      <c r="Q131" s="4"/>
      <c r="R131" s="4"/>
    </row>
    <row r="132" spans="1:18">
      <c r="A132" s="4"/>
      <c r="B132" s="4"/>
      <c r="C132" s="9"/>
      <c r="D132" s="4"/>
      <c r="E132" s="4"/>
      <c r="F132" s="4"/>
      <c r="G132" s="4"/>
      <c r="H132" s="4"/>
      <c r="I132" s="4"/>
      <c r="J132" s="4"/>
      <c r="K132" s="4"/>
      <c r="L132" s="4"/>
      <c r="M132" s="4"/>
      <c r="N132" s="4"/>
      <c r="O132" s="4"/>
      <c r="P132" s="4"/>
      <c r="Q132" s="4"/>
      <c r="R132" s="4"/>
    </row>
    <row r="133" spans="1:18">
      <c r="A133" s="4"/>
      <c r="B133" s="4"/>
      <c r="C133" s="9"/>
      <c r="D133" s="4"/>
      <c r="E133" s="4"/>
      <c r="F133" s="4"/>
      <c r="G133" s="4"/>
      <c r="H133" s="4"/>
      <c r="I133" s="4"/>
      <c r="J133" s="4"/>
      <c r="K133" s="4"/>
      <c r="L133" s="4"/>
      <c r="M133" s="4"/>
      <c r="N133" s="4"/>
      <c r="O133" s="4"/>
      <c r="P133" s="4"/>
      <c r="Q133" s="4"/>
      <c r="R133" s="4"/>
    </row>
    <row r="134" spans="1:18">
      <c r="A134" s="4"/>
      <c r="B134" s="4"/>
      <c r="C134" s="9"/>
      <c r="D134" s="4"/>
      <c r="E134" s="4"/>
      <c r="F134" s="4"/>
      <c r="G134" s="4"/>
      <c r="H134" s="4"/>
      <c r="I134" s="4"/>
      <c r="J134" s="4"/>
      <c r="K134" s="4"/>
      <c r="L134" s="4"/>
      <c r="M134" s="4"/>
      <c r="N134" s="4"/>
      <c r="O134" s="4"/>
      <c r="P134" s="4"/>
      <c r="Q134" s="4"/>
      <c r="R134" s="4"/>
    </row>
    <row r="135" spans="1:18">
      <c r="A135" s="4"/>
      <c r="B135" s="4"/>
      <c r="C135" s="9"/>
      <c r="D135" s="4"/>
      <c r="E135" s="4"/>
      <c r="F135" s="4"/>
      <c r="G135" s="4"/>
      <c r="H135" s="4"/>
      <c r="I135" s="4"/>
      <c r="J135" s="4"/>
      <c r="K135" s="4"/>
      <c r="L135" s="4"/>
      <c r="M135" s="4"/>
      <c r="N135" s="4"/>
      <c r="O135" s="4"/>
      <c r="P135" s="4"/>
      <c r="Q135" s="4"/>
      <c r="R135" s="4"/>
    </row>
    <row r="136" spans="1:18">
      <c r="A136" s="4"/>
      <c r="B136" s="4"/>
      <c r="C136" s="9"/>
      <c r="D136" s="4"/>
      <c r="E136" s="4"/>
      <c r="F136" s="4"/>
      <c r="G136" s="4"/>
      <c r="H136" s="4"/>
      <c r="I136" s="4"/>
      <c r="J136" s="4"/>
      <c r="K136" s="4"/>
      <c r="L136" s="4"/>
      <c r="M136" s="4"/>
      <c r="N136" s="4"/>
      <c r="O136" s="4"/>
      <c r="P136" s="4"/>
      <c r="Q136" s="4"/>
      <c r="R136" s="4"/>
    </row>
    <row r="137" spans="1:18">
      <c r="A137" s="4"/>
      <c r="B137" s="4"/>
      <c r="C137" s="9"/>
      <c r="D137" s="4"/>
      <c r="E137" s="4"/>
      <c r="F137" s="4"/>
      <c r="G137" s="4"/>
      <c r="H137" s="4"/>
      <c r="I137" s="4"/>
      <c r="J137" s="4"/>
      <c r="K137" s="4"/>
      <c r="L137" s="4"/>
      <c r="M137" s="4"/>
      <c r="N137" s="4"/>
      <c r="O137" s="4"/>
      <c r="P137" s="4"/>
      <c r="Q137" s="4"/>
      <c r="R137" s="4"/>
    </row>
    <row r="138" spans="1:18">
      <c r="A138" s="4"/>
      <c r="B138" s="4"/>
      <c r="C138" s="9"/>
      <c r="D138" s="4"/>
      <c r="E138" s="4"/>
      <c r="F138" s="4"/>
      <c r="G138" s="4"/>
      <c r="H138" s="4"/>
      <c r="I138" s="4"/>
      <c r="J138" s="4"/>
      <c r="K138" s="4"/>
      <c r="L138" s="4"/>
      <c r="M138" s="4"/>
      <c r="N138" s="4"/>
      <c r="O138" s="4"/>
      <c r="P138" s="4"/>
      <c r="Q138" s="4"/>
      <c r="R138" s="4"/>
    </row>
    <row r="139" spans="1:18">
      <c r="A139" s="4"/>
      <c r="B139" s="4"/>
      <c r="C139" s="9"/>
      <c r="D139" s="4"/>
      <c r="E139" s="4"/>
      <c r="F139" s="4"/>
      <c r="G139" s="4"/>
      <c r="H139" s="4"/>
      <c r="I139" s="4"/>
      <c r="J139" s="4"/>
      <c r="K139" s="4"/>
      <c r="L139" s="4"/>
      <c r="M139" s="4"/>
      <c r="N139" s="4"/>
      <c r="O139" s="4"/>
      <c r="P139" s="4"/>
      <c r="Q139" s="4"/>
      <c r="R139" s="4"/>
    </row>
    <row r="140" spans="1:18">
      <c r="A140" s="4"/>
      <c r="B140" s="4"/>
      <c r="C140" s="9"/>
      <c r="D140" s="4"/>
      <c r="E140" s="4"/>
      <c r="F140" s="4"/>
      <c r="G140" s="4"/>
      <c r="H140" s="4"/>
      <c r="I140" s="4"/>
      <c r="J140" s="4"/>
      <c r="K140" s="4"/>
      <c r="L140" s="4"/>
      <c r="M140" s="4"/>
      <c r="N140" s="4"/>
      <c r="O140" s="4"/>
      <c r="P140" s="4"/>
      <c r="Q140" s="4"/>
      <c r="R140" s="4"/>
    </row>
    <row r="141" spans="1:18">
      <c r="A141" s="4"/>
      <c r="B141" s="4"/>
      <c r="C141" s="9"/>
      <c r="D141" s="4"/>
      <c r="E141" s="4"/>
      <c r="F141" s="4"/>
      <c r="G141" s="4"/>
      <c r="H141" s="4"/>
      <c r="I141" s="4"/>
      <c r="J141" s="4"/>
      <c r="K141" s="4"/>
      <c r="L141" s="4"/>
      <c r="M141" s="4"/>
      <c r="N141" s="4"/>
      <c r="O141" s="4"/>
      <c r="P141" s="4"/>
      <c r="Q141" s="4"/>
      <c r="R141" s="4"/>
    </row>
    <row r="142" spans="1:18">
      <c r="A142" s="4"/>
      <c r="B142" s="4"/>
      <c r="C142" s="9"/>
      <c r="D142" s="4"/>
      <c r="E142" s="4"/>
      <c r="F142" s="4"/>
      <c r="G142" s="4"/>
      <c r="H142" s="4"/>
      <c r="I142" s="4"/>
      <c r="J142" s="4"/>
      <c r="K142" s="4"/>
      <c r="L142" s="4"/>
      <c r="M142" s="4"/>
      <c r="N142" s="4"/>
      <c r="O142" s="4"/>
      <c r="P142" s="4"/>
      <c r="Q142" s="4"/>
      <c r="R142" s="4"/>
    </row>
    <row r="143" spans="1:18">
      <c r="A143" s="4"/>
      <c r="B143" s="4"/>
      <c r="C143" s="9"/>
      <c r="D143" s="4"/>
      <c r="E143" s="4"/>
      <c r="F143" s="4"/>
      <c r="G143" s="4"/>
      <c r="H143" s="4"/>
      <c r="I143" s="4"/>
      <c r="J143" s="4"/>
      <c r="K143" s="4"/>
      <c r="L143" s="4"/>
      <c r="M143" s="4"/>
      <c r="N143" s="4"/>
      <c r="O143" s="4"/>
      <c r="P143" s="4"/>
      <c r="Q143" s="4"/>
      <c r="R143" s="4"/>
    </row>
    <row r="144" spans="1:18">
      <c r="A144" s="4"/>
      <c r="B144" s="4"/>
      <c r="C144" s="9"/>
      <c r="D144" s="4"/>
      <c r="E144" s="4"/>
      <c r="F144" s="4"/>
      <c r="G144" s="4"/>
      <c r="H144" s="4"/>
      <c r="I144" s="4"/>
      <c r="J144" s="4"/>
      <c r="K144" s="4"/>
      <c r="L144" s="4"/>
      <c r="M144" s="4"/>
      <c r="N144" s="4"/>
      <c r="O144" s="4"/>
      <c r="P144" s="4"/>
      <c r="Q144" s="4"/>
      <c r="R144" s="4"/>
    </row>
    <row r="145" spans="1:18">
      <c r="A145" s="4"/>
      <c r="B145" s="4"/>
      <c r="C145" s="9"/>
      <c r="D145" s="4"/>
      <c r="E145" s="4"/>
      <c r="F145" s="4"/>
      <c r="G145" s="4"/>
      <c r="H145" s="4"/>
      <c r="I145" s="4"/>
      <c r="J145" s="4"/>
      <c r="K145" s="4"/>
      <c r="L145" s="4"/>
      <c r="M145" s="4"/>
      <c r="N145" s="4"/>
      <c r="O145" s="4"/>
      <c r="P145" s="4"/>
      <c r="Q145" s="4"/>
      <c r="R145" s="4"/>
    </row>
    <row r="146" spans="1:18">
      <c r="A146" s="4"/>
      <c r="B146" s="4"/>
      <c r="C146" s="9"/>
      <c r="D146" s="4"/>
      <c r="E146" s="4"/>
      <c r="F146" s="4"/>
      <c r="G146" s="4"/>
      <c r="H146" s="4"/>
      <c r="I146" s="4"/>
      <c r="J146" s="4"/>
      <c r="K146" s="4"/>
      <c r="L146" s="4"/>
      <c r="M146" s="4"/>
      <c r="N146" s="4"/>
      <c r="O146" s="4"/>
      <c r="P146" s="4"/>
      <c r="Q146" s="4"/>
      <c r="R146" s="4"/>
    </row>
    <row r="147" spans="1:18">
      <c r="A147" s="4"/>
      <c r="B147" s="4"/>
      <c r="C147" s="9"/>
      <c r="D147" s="4"/>
      <c r="E147" s="4"/>
      <c r="F147" s="4"/>
      <c r="G147" s="4"/>
      <c r="H147" s="4"/>
      <c r="I147" s="4"/>
      <c r="J147" s="4"/>
      <c r="K147" s="4"/>
      <c r="L147" s="4"/>
      <c r="M147" s="4"/>
      <c r="N147" s="4"/>
      <c r="O147" s="4"/>
      <c r="P147" s="4"/>
      <c r="Q147" s="4"/>
      <c r="R147" s="4"/>
    </row>
    <row r="148" spans="1:18">
      <c r="A148" s="4"/>
      <c r="B148" s="4"/>
      <c r="C148" s="9"/>
      <c r="D148" s="4"/>
      <c r="E148" s="4"/>
      <c r="F148" s="4"/>
      <c r="G148" s="4"/>
      <c r="H148" s="4"/>
      <c r="I148" s="4"/>
      <c r="J148" s="4"/>
      <c r="K148" s="4"/>
      <c r="L148" s="4"/>
      <c r="M148" s="4"/>
      <c r="N148" s="4"/>
      <c r="O148" s="4"/>
      <c r="P148" s="4"/>
      <c r="Q148" s="4"/>
      <c r="R148" s="4"/>
    </row>
    <row r="149" spans="1:18">
      <c r="A149" s="4"/>
      <c r="B149" s="4"/>
      <c r="C149" s="9"/>
      <c r="D149" s="4"/>
      <c r="E149" s="4"/>
      <c r="F149" s="4"/>
      <c r="G149" s="4"/>
      <c r="H149" s="4"/>
      <c r="I149" s="4"/>
      <c r="J149" s="4"/>
      <c r="K149" s="4"/>
      <c r="L149" s="4"/>
      <c r="M149" s="4"/>
      <c r="N149" s="4"/>
      <c r="O149" s="4"/>
      <c r="P149" s="4"/>
      <c r="Q149" s="4"/>
      <c r="R149" s="4"/>
    </row>
    <row r="150" spans="1:18">
      <c r="A150" s="4"/>
      <c r="B150" s="4"/>
      <c r="C150" s="9"/>
      <c r="D150" s="4"/>
      <c r="E150" s="4"/>
      <c r="F150" s="4"/>
      <c r="G150" s="4"/>
      <c r="H150" s="4"/>
      <c r="I150" s="4"/>
      <c r="J150" s="4"/>
      <c r="K150" s="4"/>
      <c r="L150" s="4"/>
      <c r="M150" s="4"/>
      <c r="N150" s="4"/>
      <c r="O150" s="4"/>
      <c r="P150" s="4"/>
      <c r="Q150" s="4"/>
      <c r="R150" s="4"/>
    </row>
    <row r="151" spans="1:18">
      <c r="A151" s="4"/>
      <c r="B151" s="4"/>
      <c r="C151" s="9"/>
      <c r="D151" s="4"/>
      <c r="E151" s="4"/>
      <c r="F151" s="4"/>
      <c r="G151" s="4"/>
      <c r="H151" s="4"/>
      <c r="I151" s="4"/>
      <c r="J151" s="4"/>
      <c r="K151" s="4"/>
      <c r="L151" s="4"/>
      <c r="M151" s="4"/>
      <c r="N151" s="4"/>
      <c r="O151" s="4"/>
      <c r="P151" s="4"/>
      <c r="Q151" s="4"/>
      <c r="R151" s="4"/>
    </row>
    <row r="152" spans="1:18">
      <c r="A152" s="4"/>
      <c r="B152" s="4"/>
      <c r="C152" s="9"/>
      <c r="D152" s="4"/>
      <c r="E152" s="4"/>
      <c r="F152" s="4"/>
      <c r="G152" s="4"/>
      <c r="H152" s="4"/>
      <c r="I152" s="4"/>
      <c r="J152" s="4"/>
      <c r="K152" s="4"/>
      <c r="L152" s="4"/>
      <c r="M152" s="4"/>
      <c r="N152" s="4"/>
      <c r="O152" s="4"/>
      <c r="P152" s="4"/>
      <c r="Q152" s="4"/>
      <c r="R152" s="4"/>
    </row>
    <row r="153" spans="1:18">
      <c r="A153" s="4"/>
      <c r="B153" s="4"/>
      <c r="C153" s="9"/>
      <c r="D153" s="4"/>
      <c r="E153" s="4"/>
      <c r="F153" s="4"/>
      <c r="G153" s="4"/>
      <c r="H153" s="4"/>
      <c r="I153" s="4"/>
      <c r="J153" s="4"/>
      <c r="K153" s="4"/>
      <c r="L153" s="4"/>
      <c r="M153" s="4"/>
      <c r="N153" s="4"/>
      <c r="O153" s="4"/>
      <c r="P153" s="4"/>
      <c r="Q153" s="4"/>
      <c r="R153" s="4"/>
    </row>
    <row r="154" spans="1:18">
      <c r="A154" s="4"/>
      <c r="B154" s="4"/>
      <c r="C154" s="9"/>
      <c r="D154" s="4"/>
      <c r="E154" s="4"/>
      <c r="F154" s="4"/>
      <c r="G154" s="4"/>
      <c r="H154" s="4"/>
      <c r="I154" s="4"/>
      <c r="J154" s="4"/>
      <c r="K154" s="4"/>
      <c r="L154" s="4"/>
      <c r="M154" s="4"/>
      <c r="N154" s="4"/>
      <c r="O154" s="4"/>
      <c r="P154" s="4"/>
      <c r="Q154" s="4"/>
      <c r="R154" s="4"/>
    </row>
    <row r="155" spans="1:18">
      <c r="A155" s="4"/>
      <c r="B155" s="4"/>
      <c r="C155" s="9"/>
      <c r="D155" s="4"/>
      <c r="E155" s="4"/>
      <c r="F155" s="4"/>
      <c r="G155" s="4"/>
      <c r="H155" s="4"/>
      <c r="I155" s="4"/>
      <c r="J155" s="4"/>
      <c r="K155" s="4"/>
      <c r="L155" s="4"/>
      <c r="M155" s="4"/>
      <c r="N155" s="4"/>
      <c r="O155" s="4"/>
      <c r="P155" s="4"/>
      <c r="Q155" s="4"/>
      <c r="R155" s="4"/>
    </row>
    <row r="156" spans="1:18">
      <c r="A156" s="4"/>
      <c r="B156" s="4"/>
      <c r="C156" s="9"/>
      <c r="D156" s="4"/>
      <c r="E156" s="4"/>
      <c r="F156" s="4"/>
      <c r="G156" s="4"/>
      <c r="H156" s="4"/>
      <c r="I156" s="4"/>
      <c r="J156" s="4"/>
      <c r="K156" s="4"/>
      <c r="L156" s="4"/>
      <c r="M156" s="4"/>
      <c r="N156" s="4"/>
      <c r="O156" s="4"/>
      <c r="P156" s="4"/>
      <c r="Q156" s="4"/>
      <c r="R156" s="4"/>
    </row>
    <row r="157" spans="1:18">
      <c r="A157" s="4"/>
      <c r="B157" s="4"/>
      <c r="C157" s="9"/>
      <c r="D157" s="4"/>
      <c r="E157" s="4"/>
      <c r="F157" s="4"/>
      <c r="G157" s="4"/>
      <c r="H157" s="4"/>
      <c r="I157" s="4"/>
      <c r="J157" s="4"/>
      <c r="K157" s="4"/>
      <c r="L157" s="4"/>
      <c r="M157" s="4"/>
      <c r="N157" s="4"/>
      <c r="O157" s="4"/>
      <c r="P157" s="4"/>
      <c r="Q157" s="4"/>
      <c r="R157" s="4"/>
    </row>
    <row r="158" spans="1:18">
      <c r="A158" s="4"/>
      <c r="B158" s="4"/>
      <c r="C158" s="9"/>
      <c r="D158" s="4"/>
      <c r="E158" s="4"/>
      <c r="F158" s="4"/>
      <c r="G158" s="4"/>
      <c r="H158" s="4"/>
      <c r="I158" s="4"/>
      <c r="J158" s="4"/>
      <c r="K158" s="4"/>
      <c r="L158" s="4"/>
      <c r="M158" s="4"/>
      <c r="N158" s="4"/>
      <c r="O158" s="4"/>
      <c r="P158" s="4"/>
      <c r="Q158" s="4"/>
      <c r="R158" s="4"/>
    </row>
    <row r="159" spans="1:18">
      <c r="A159" s="4"/>
      <c r="B159" s="4"/>
      <c r="C159" s="9"/>
      <c r="D159" s="4"/>
      <c r="E159" s="4"/>
      <c r="F159" s="4"/>
      <c r="G159" s="4"/>
      <c r="H159" s="4"/>
      <c r="I159" s="4"/>
      <c r="J159" s="4"/>
      <c r="K159" s="4"/>
      <c r="L159" s="4"/>
      <c r="M159" s="4"/>
      <c r="N159" s="4"/>
      <c r="O159" s="4"/>
      <c r="P159" s="4"/>
      <c r="Q159" s="4"/>
      <c r="R159" s="4"/>
    </row>
    <row r="160" spans="1:18">
      <c r="A160" s="4"/>
      <c r="B160" s="4"/>
      <c r="C160" s="9"/>
      <c r="D160" s="4"/>
      <c r="E160" s="4"/>
      <c r="F160" s="4"/>
      <c r="G160" s="4"/>
      <c r="H160" s="4"/>
      <c r="I160" s="4"/>
      <c r="J160" s="4"/>
      <c r="K160" s="4"/>
      <c r="L160" s="4"/>
      <c r="M160" s="4"/>
      <c r="N160" s="4"/>
      <c r="O160" s="4"/>
      <c r="P160" s="4"/>
      <c r="Q160" s="4"/>
      <c r="R160" s="4"/>
    </row>
    <row r="161" spans="1:18">
      <c r="A161" s="4"/>
      <c r="B161" s="4"/>
      <c r="C161" s="9"/>
      <c r="D161" s="4"/>
      <c r="E161" s="4"/>
      <c r="F161" s="4"/>
      <c r="G161" s="4"/>
      <c r="H161" s="4"/>
      <c r="I161" s="4"/>
      <c r="J161" s="4"/>
      <c r="K161" s="4"/>
      <c r="L161" s="4"/>
      <c r="M161" s="4"/>
      <c r="N161" s="4"/>
      <c r="O161" s="4"/>
      <c r="P161" s="4"/>
      <c r="Q161" s="4"/>
      <c r="R161" s="4"/>
    </row>
    <row r="162" spans="1:18">
      <c r="A162" s="4"/>
      <c r="B162" s="4"/>
      <c r="C162" s="9"/>
      <c r="D162" s="4"/>
      <c r="E162" s="4"/>
      <c r="F162" s="4"/>
      <c r="G162" s="4"/>
      <c r="H162" s="4"/>
      <c r="I162" s="4"/>
      <c r="J162" s="4"/>
      <c r="K162" s="4"/>
      <c r="L162" s="4"/>
      <c r="M162" s="4"/>
      <c r="N162" s="4"/>
      <c r="O162" s="4"/>
      <c r="P162" s="4"/>
      <c r="Q162" s="4"/>
      <c r="R162" s="4"/>
    </row>
    <row r="163" spans="1:18">
      <c r="A163" s="4"/>
      <c r="B163" s="4"/>
      <c r="C163" s="9"/>
      <c r="D163" s="4"/>
      <c r="E163" s="4"/>
      <c r="F163" s="4"/>
      <c r="G163" s="4"/>
      <c r="H163" s="4"/>
      <c r="I163" s="4"/>
      <c r="J163" s="4"/>
      <c r="K163" s="4"/>
      <c r="L163" s="4"/>
      <c r="M163" s="4"/>
      <c r="N163" s="4"/>
      <c r="O163" s="4"/>
      <c r="P163" s="4"/>
      <c r="Q163" s="4"/>
      <c r="R163" s="4"/>
    </row>
    <row r="164" spans="1:18">
      <c r="A164" s="4"/>
      <c r="B164" s="4"/>
      <c r="C164" s="9"/>
      <c r="D164" s="4"/>
      <c r="E164" s="4"/>
      <c r="F164" s="4"/>
      <c r="G164" s="4"/>
      <c r="H164" s="4"/>
      <c r="I164" s="4"/>
      <c r="J164" s="4"/>
      <c r="K164" s="4"/>
      <c r="L164" s="4"/>
      <c r="M164" s="4"/>
      <c r="N164" s="4"/>
      <c r="O164" s="4"/>
      <c r="P164" s="4"/>
      <c r="Q164" s="4"/>
      <c r="R164" s="4"/>
    </row>
    <row r="165" spans="1:18">
      <c r="A165" s="4"/>
      <c r="B165" s="4"/>
      <c r="C165" s="9"/>
      <c r="D165" s="4"/>
      <c r="E165" s="4"/>
      <c r="F165" s="4"/>
      <c r="G165" s="4"/>
      <c r="H165" s="4"/>
      <c r="I165" s="4"/>
      <c r="J165" s="4"/>
      <c r="K165" s="4"/>
      <c r="L165" s="4"/>
      <c r="M165" s="4"/>
      <c r="N165" s="4"/>
      <c r="O165" s="4"/>
      <c r="P165" s="4"/>
      <c r="Q165" s="4"/>
      <c r="R165" s="4"/>
    </row>
    <row r="166" spans="1:18">
      <c r="A166" s="4"/>
      <c r="B166" s="4"/>
      <c r="C166" s="9"/>
      <c r="D166" s="4"/>
      <c r="E166" s="4"/>
      <c r="F166" s="4"/>
      <c r="G166" s="4"/>
      <c r="H166" s="4"/>
      <c r="I166" s="4"/>
      <c r="J166" s="4"/>
      <c r="K166" s="4"/>
      <c r="L166" s="4"/>
      <c r="M166" s="4"/>
      <c r="N166" s="4"/>
      <c r="O166" s="4"/>
      <c r="P166" s="4"/>
      <c r="Q166" s="4"/>
      <c r="R166" s="4"/>
    </row>
    <row r="167" spans="1:18">
      <c r="A167" s="4"/>
      <c r="B167" s="4"/>
      <c r="C167" s="9"/>
      <c r="D167" s="4"/>
      <c r="E167" s="4"/>
      <c r="F167" s="4"/>
      <c r="G167" s="4"/>
      <c r="H167" s="4"/>
      <c r="I167" s="4"/>
      <c r="J167" s="4"/>
      <c r="K167" s="4"/>
      <c r="L167" s="4"/>
      <c r="M167" s="4"/>
      <c r="N167" s="4"/>
      <c r="O167" s="4"/>
      <c r="P167" s="4"/>
      <c r="Q167" s="4"/>
      <c r="R167" s="4"/>
    </row>
    <row r="168" spans="1:18">
      <c r="A168" s="4"/>
      <c r="B168" s="4"/>
      <c r="C168" s="9"/>
      <c r="D168" s="4"/>
      <c r="E168" s="4"/>
      <c r="F168" s="4"/>
      <c r="G168" s="4"/>
      <c r="H168" s="4"/>
      <c r="I168" s="4"/>
      <c r="J168" s="4"/>
      <c r="K168" s="4"/>
      <c r="L168" s="4"/>
      <c r="M168" s="4"/>
      <c r="N168" s="4"/>
      <c r="O168" s="4"/>
      <c r="P168" s="4"/>
      <c r="Q168" s="4"/>
      <c r="R168" s="4"/>
    </row>
    <row r="169" spans="1:18">
      <c r="A169" s="4"/>
      <c r="B169" s="4"/>
      <c r="C169" s="9"/>
      <c r="D169" s="4"/>
      <c r="E169" s="4"/>
      <c r="F169" s="4"/>
      <c r="G169" s="4"/>
      <c r="H169" s="4"/>
      <c r="I169" s="4"/>
      <c r="J169" s="4"/>
      <c r="K169" s="4"/>
      <c r="L169" s="4"/>
      <c r="M169" s="4"/>
      <c r="N169" s="4"/>
      <c r="O169" s="4"/>
      <c r="P169" s="4"/>
      <c r="Q169" s="4"/>
      <c r="R169" s="4"/>
    </row>
    <row r="170" spans="1:18">
      <c r="A170" s="4"/>
      <c r="B170" s="4"/>
      <c r="C170" s="9"/>
      <c r="D170" s="4"/>
      <c r="E170" s="4"/>
      <c r="F170" s="4"/>
      <c r="G170" s="4"/>
      <c r="H170" s="4"/>
      <c r="I170" s="4"/>
      <c r="J170" s="4"/>
      <c r="K170" s="4"/>
      <c r="L170" s="4"/>
      <c r="M170" s="4"/>
      <c r="N170" s="4"/>
      <c r="O170" s="4"/>
      <c r="P170" s="4"/>
      <c r="Q170" s="4"/>
      <c r="R170" s="4"/>
    </row>
    <row r="171" spans="1:18">
      <c r="A171" s="4"/>
      <c r="B171" s="4"/>
      <c r="C171" s="9"/>
      <c r="D171" s="4"/>
      <c r="E171" s="4"/>
      <c r="F171" s="4"/>
      <c r="G171" s="4"/>
      <c r="H171" s="4"/>
      <c r="I171" s="4"/>
      <c r="J171" s="4"/>
      <c r="K171" s="4"/>
      <c r="L171" s="4"/>
      <c r="M171" s="4"/>
      <c r="N171" s="4"/>
      <c r="O171" s="4"/>
      <c r="P171" s="4"/>
      <c r="Q171" s="4"/>
      <c r="R171" s="4"/>
    </row>
    <row r="172" spans="1:18">
      <c r="A172" s="4"/>
      <c r="B172" s="4"/>
      <c r="C172" s="9"/>
      <c r="D172" s="4"/>
      <c r="E172" s="4"/>
      <c r="F172" s="4"/>
      <c r="G172" s="4"/>
      <c r="H172" s="4"/>
      <c r="I172" s="4"/>
      <c r="J172" s="4"/>
      <c r="K172" s="4"/>
      <c r="L172" s="4"/>
      <c r="M172" s="4"/>
      <c r="N172" s="4"/>
      <c r="O172" s="4"/>
      <c r="P172" s="4"/>
      <c r="Q172" s="4"/>
      <c r="R172" s="4"/>
    </row>
    <row r="173" spans="1:18">
      <c r="A173" s="4"/>
      <c r="B173" s="4"/>
      <c r="C173" s="9"/>
      <c r="D173" s="4"/>
      <c r="E173" s="4"/>
      <c r="F173" s="4"/>
      <c r="G173" s="4"/>
      <c r="H173" s="4"/>
      <c r="I173" s="4"/>
      <c r="J173" s="4"/>
      <c r="K173" s="4"/>
      <c r="L173" s="4"/>
      <c r="M173" s="4"/>
      <c r="N173" s="4"/>
      <c r="O173" s="4"/>
      <c r="P173" s="4"/>
      <c r="Q173" s="4"/>
      <c r="R173" s="4"/>
    </row>
    <row r="174" spans="1:18">
      <c r="A174" s="4"/>
      <c r="B174" s="4"/>
      <c r="C174" s="9"/>
      <c r="D174" s="4"/>
      <c r="E174" s="4"/>
      <c r="F174" s="4"/>
      <c r="G174" s="4"/>
      <c r="H174" s="4"/>
      <c r="I174" s="4"/>
      <c r="J174" s="4"/>
      <c r="K174" s="4"/>
      <c r="L174" s="4"/>
      <c r="M174" s="4"/>
      <c r="N174" s="4"/>
      <c r="O174" s="4"/>
      <c r="P174" s="4"/>
      <c r="Q174" s="4"/>
      <c r="R174" s="4"/>
    </row>
    <row r="175" spans="1:18">
      <c r="A175" s="4"/>
      <c r="B175" s="4"/>
      <c r="C175" s="9"/>
      <c r="D175" s="4"/>
      <c r="E175" s="4"/>
      <c r="F175" s="4"/>
      <c r="G175" s="4"/>
      <c r="H175" s="4"/>
      <c r="I175" s="4"/>
      <c r="J175" s="4"/>
      <c r="K175" s="4"/>
      <c r="L175" s="4"/>
      <c r="M175" s="4"/>
      <c r="N175" s="4"/>
      <c r="O175" s="4"/>
      <c r="P175" s="4"/>
      <c r="Q175" s="4"/>
      <c r="R175" s="4"/>
    </row>
    <row r="176" spans="1:18">
      <c r="A176" s="4"/>
      <c r="B176" s="4"/>
      <c r="C176" s="9"/>
      <c r="D176" s="4"/>
      <c r="E176" s="4"/>
      <c r="F176" s="4"/>
      <c r="G176" s="4"/>
      <c r="H176" s="4"/>
      <c r="I176" s="4"/>
      <c r="J176" s="4"/>
      <c r="K176" s="4"/>
      <c r="L176" s="4"/>
      <c r="M176" s="4"/>
      <c r="N176" s="4"/>
      <c r="O176" s="4"/>
      <c r="P176" s="4"/>
      <c r="Q176" s="4"/>
      <c r="R176" s="4"/>
    </row>
    <row r="177" spans="1:18">
      <c r="A177" s="4"/>
      <c r="B177" s="4"/>
      <c r="C177" s="9"/>
      <c r="D177" s="4"/>
      <c r="E177" s="4"/>
      <c r="F177" s="4"/>
      <c r="G177" s="4"/>
      <c r="H177" s="4"/>
      <c r="I177" s="4"/>
      <c r="J177" s="4"/>
      <c r="K177" s="4"/>
      <c r="L177" s="4"/>
      <c r="M177" s="4"/>
      <c r="N177" s="4"/>
      <c r="O177" s="4"/>
      <c r="P177" s="4"/>
      <c r="Q177" s="4"/>
      <c r="R177" s="4"/>
    </row>
    <row r="178" spans="1:18">
      <c r="A178" s="4"/>
      <c r="B178" s="4"/>
      <c r="C178" s="9"/>
      <c r="D178" s="4"/>
      <c r="E178" s="4"/>
      <c r="F178" s="4"/>
      <c r="G178" s="4"/>
      <c r="H178" s="4"/>
      <c r="I178" s="4"/>
      <c r="J178" s="4"/>
      <c r="K178" s="4"/>
      <c r="L178" s="4"/>
      <c r="M178" s="4"/>
      <c r="N178" s="4"/>
      <c r="O178" s="4"/>
      <c r="P178" s="4"/>
      <c r="Q178" s="4"/>
      <c r="R178" s="4"/>
    </row>
    <row r="179" spans="1:18">
      <c r="A179" s="4"/>
      <c r="B179" s="4"/>
      <c r="C179" s="9"/>
      <c r="D179" s="4"/>
      <c r="E179" s="4"/>
      <c r="F179" s="4"/>
      <c r="G179" s="4"/>
      <c r="H179" s="4"/>
      <c r="I179" s="4"/>
      <c r="J179" s="4"/>
      <c r="K179" s="4"/>
      <c r="L179" s="4"/>
      <c r="M179" s="4"/>
      <c r="N179" s="4"/>
      <c r="O179" s="4"/>
      <c r="P179" s="4"/>
      <c r="Q179" s="4"/>
      <c r="R179" s="4"/>
    </row>
    <row r="180" spans="1:18">
      <c r="A180" s="4"/>
      <c r="B180" s="4"/>
      <c r="C180" s="9"/>
      <c r="D180" s="4"/>
      <c r="E180" s="4"/>
      <c r="F180" s="4"/>
      <c r="G180" s="4"/>
      <c r="H180" s="4"/>
      <c r="I180" s="4"/>
      <c r="J180" s="4"/>
      <c r="K180" s="4"/>
      <c r="L180" s="4"/>
      <c r="M180" s="4"/>
      <c r="N180" s="4"/>
      <c r="O180" s="4"/>
      <c r="P180" s="4"/>
      <c r="Q180" s="4"/>
      <c r="R180" s="4"/>
    </row>
    <row r="181" spans="1:18">
      <c r="A181" s="4"/>
      <c r="B181" s="4"/>
      <c r="C181" s="9"/>
      <c r="D181" s="4"/>
      <c r="E181" s="4"/>
      <c r="F181" s="4"/>
      <c r="G181" s="4"/>
      <c r="H181" s="4"/>
      <c r="I181" s="4"/>
      <c r="J181" s="4"/>
      <c r="K181" s="4"/>
      <c r="L181" s="4"/>
      <c r="M181" s="4"/>
      <c r="N181" s="4"/>
      <c r="O181" s="4"/>
      <c r="P181" s="4"/>
      <c r="Q181" s="4"/>
      <c r="R181" s="4"/>
    </row>
    <row r="182" spans="1:18">
      <c r="A182" s="4"/>
      <c r="B182" s="4"/>
      <c r="C182" s="9"/>
      <c r="D182" s="4"/>
      <c r="E182" s="4"/>
      <c r="F182" s="4"/>
      <c r="G182" s="4"/>
      <c r="H182" s="4"/>
      <c r="I182" s="4"/>
      <c r="J182" s="4"/>
      <c r="K182" s="4"/>
      <c r="L182" s="4"/>
      <c r="M182" s="4"/>
      <c r="N182" s="4"/>
      <c r="O182" s="4"/>
      <c r="P182" s="4"/>
      <c r="Q182" s="4"/>
      <c r="R182" s="4"/>
    </row>
    <row r="183" spans="1:18">
      <c r="A183" s="4"/>
      <c r="B183" s="4"/>
      <c r="C183" s="9"/>
      <c r="D183" s="4"/>
      <c r="E183" s="4"/>
      <c r="F183" s="4"/>
      <c r="G183" s="4"/>
      <c r="H183" s="4"/>
      <c r="I183" s="4"/>
      <c r="J183" s="4"/>
      <c r="K183" s="4"/>
      <c r="L183" s="4"/>
      <c r="M183" s="4"/>
      <c r="N183" s="4"/>
      <c r="O183" s="4"/>
      <c r="P183" s="4"/>
      <c r="Q183" s="4"/>
      <c r="R183" s="4"/>
    </row>
    <row r="184" spans="1:18">
      <c r="A184" s="4"/>
      <c r="B184" s="4"/>
      <c r="C184" s="9"/>
      <c r="D184" s="4"/>
      <c r="E184" s="4"/>
      <c r="F184" s="4"/>
      <c r="G184" s="4"/>
      <c r="H184" s="4"/>
      <c r="I184" s="4"/>
      <c r="J184" s="4"/>
      <c r="K184" s="4"/>
      <c r="L184" s="4"/>
      <c r="M184" s="4"/>
      <c r="N184" s="4"/>
      <c r="O184" s="4"/>
      <c r="P184" s="4"/>
      <c r="Q184" s="4"/>
      <c r="R184" s="4"/>
    </row>
    <row r="185" spans="1:18">
      <c r="A185" s="4"/>
      <c r="B185" s="4"/>
      <c r="C185" s="9"/>
      <c r="D185" s="4"/>
      <c r="E185" s="4"/>
      <c r="F185" s="4"/>
      <c r="G185" s="4"/>
      <c r="H185" s="4"/>
      <c r="I185" s="4"/>
      <c r="J185" s="4"/>
      <c r="K185" s="4"/>
      <c r="L185" s="4"/>
      <c r="M185" s="4"/>
      <c r="N185" s="4"/>
      <c r="O185" s="4"/>
      <c r="P185" s="4"/>
      <c r="Q185" s="4"/>
      <c r="R185" s="4"/>
    </row>
    <row r="186" spans="1:18">
      <c r="A186" s="4"/>
      <c r="B186" s="4"/>
      <c r="C186" s="9"/>
      <c r="D186" s="4"/>
      <c r="E186" s="4"/>
      <c r="F186" s="4"/>
      <c r="G186" s="4"/>
      <c r="H186" s="4"/>
      <c r="I186" s="4"/>
      <c r="J186" s="4"/>
      <c r="K186" s="4"/>
      <c r="L186" s="4"/>
      <c r="M186" s="4"/>
      <c r="N186" s="4"/>
      <c r="O186" s="4"/>
      <c r="P186" s="4"/>
      <c r="Q186" s="4"/>
      <c r="R186" s="4"/>
    </row>
    <row r="187" spans="1:18">
      <c r="A187" s="4"/>
      <c r="B187" s="4"/>
      <c r="C187" s="9"/>
      <c r="D187" s="4"/>
      <c r="E187" s="4"/>
      <c r="F187" s="4"/>
      <c r="G187" s="4"/>
      <c r="H187" s="4"/>
      <c r="I187" s="4"/>
      <c r="J187" s="4"/>
      <c r="K187" s="4"/>
      <c r="L187" s="4"/>
      <c r="M187" s="4"/>
      <c r="N187" s="4"/>
      <c r="O187" s="4"/>
      <c r="P187" s="4"/>
      <c r="Q187" s="4"/>
      <c r="R187" s="4"/>
    </row>
    <row r="188" spans="1:18">
      <c r="A188" s="4"/>
      <c r="B188" s="4"/>
      <c r="C188" s="9"/>
      <c r="D188" s="4"/>
      <c r="E188" s="4"/>
      <c r="F188" s="4"/>
      <c r="G188" s="4"/>
      <c r="H188" s="4"/>
      <c r="I188" s="4"/>
      <c r="J188" s="4"/>
      <c r="K188" s="4"/>
      <c r="L188" s="4"/>
      <c r="M188" s="4"/>
      <c r="N188" s="4"/>
      <c r="O188" s="4"/>
      <c r="P188" s="4"/>
      <c r="Q188" s="4"/>
      <c r="R188" s="4"/>
    </row>
    <row r="189" spans="1:18">
      <c r="A189" s="4"/>
      <c r="B189" s="4"/>
      <c r="C189" s="9"/>
      <c r="D189" s="4"/>
      <c r="E189" s="4"/>
      <c r="F189" s="4"/>
      <c r="G189" s="4"/>
      <c r="H189" s="4"/>
      <c r="I189" s="4"/>
      <c r="J189" s="4"/>
      <c r="K189" s="4"/>
      <c r="L189" s="4"/>
      <c r="M189" s="4"/>
      <c r="N189" s="4"/>
      <c r="O189" s="4"/>
      <c r="P189" s="4"/>
      <c r="Q189" s="4"/>
      <c r="R189" s="4"/>
    </row>
    <row r="190" spans="1:18">
      <c r="A190" s="4"/>
      <c r="B190" s="4"/>
      <c r="C190" s="9"/>
      <c r="D190" s="4"/>
      <c r="E190" s="4"/>
      <c r="F190" s="4"/>
      <c r="G190" s="4"/>
      <c r="H190" s="4"/>
      <c r="I190" s="4"/>
      <c r="J190" s="4"/>
      <c r="K190" s="4"/>
      <c r="L190" s="4"/>
      <c r="M190" s="4"/>
      <c r="N190" s="4"/>
      <c r="O190" s="4"/>
      <c r="P190" s="4"/>
      <c r="Q190" s="4"/>
      <c r="R190" s="4"/>
    </row>
    <row r="191" spans="1:18">
      <c r="A191" s="4"/>
      <c r="B191" s="4"/>
      <c r="C191" s="9"/>
      <c r="D191" s="4"/>
      <c r="E191" s="4"/>
      <c r="F191" s="4"/>
      <c r="G191" s="4"/>
      <c r="H191" s="4"/>
      <c r="I191" s="4"/>
      <c r="J191" s="4"/>
      <c r="K191" s="4"/>
      <c r="L191" s="4"/>
      <c r="M191" s="4"/>
      <c r="N191" s="4"/>
      <c r="O191" s="4"/>
      <c r="P191" s="4"/>
      <c r="Q191" s="4"/>
      <c r="R191" s="4"/>
    </row>
    <row r="192" spans="1:18">
      <c r="A192" s="4"/>
      <c r="B192" s="4"/>
      <c r="C192" s="9"/>
      <c r="D192" s="4"/>
      <c r="E192" s="4"/>
      <c r="F192" s="4"/>
      <c r="G192" s="4"/>
      <c r="H192" s="4"/>
      <c r="I192" s="4"/>
      <c r="J192" s="4"/>
      <c r="K192" s="4"/>
      <c r="L192" s="4"/>
      <c r="M192" s="4"/>
      <c r="N192" s="4"/>
      <c r="O192" s="4"/>
      <c r="P192" s="4"/>
      <c r="Q192" s="4"/>
      <c r="R192" s="4"/>
    </row>
    <row r="193" spans="1:18">
      <c r="A193" s="4"/>
      <c r="B193" s="4"/>
      <c r="C193" s="9"/>
      <c r="D193" s="4"/>
      <c r="E193" s="4"/>
      <c r="F193" s="4"/>
      <c r="G193" s="4"/>
      <c r="H193" s="4"/>
      <c r="I193" s="4"/>
      <c r="J193" s="4"/>
      <c r="K193" s="4"/>
      <c r="L193" s="4"/>
      <c r="M193" s="4"/>
      <c r="N193" s="4"/>
      <c r="O193" s="4"/>
      <c r="P193" s="4"/>
      <c r="Q193" s="4"/>
      <c r="R193" s="4"/>
    </row>
    <row r="194" spans="1:18">
      <c r="A194" s="4"/>
      <c r="B194" s="4"/>
      <c r="C194" s="9"/>
      <c r="D194" s="4"/>
      <c r="E194" s="4"/>
      <c r="F194" s="4"/>
      <c r="G194" s="4"/>
      <c r="H194" s="4"/>
      <c r="I194" s="4"/>
      <c r="J194" s="4"/>
      <c r="K194" s="4"/>
      <c r="L194" s="4"/>
      <c r="M194" s="4"/>
      <c r="N194" s="4"/>
      <c r="O194" s="4"/>
      <c r="P194" s="4"/>
      <c r="Q194" s="4"/>
      <c r="R194" s="4"/>
    </row>
    <row r="195" spans="1:18">
      <c r="A195" s="4"/>
      <c r="B195" s="4"/>
      <c r="C195" s="9"/>
      <c r="D195" s="4"/>
      <c r="E195" s="4"/>
      <c r="F195" s="4"/>
      <c r="G195" s="4"/>
      <c r="H195" s="4"/>
      <c r="I195" s="4"/>
      <c r="J195" s="4"/>
      <c r="K195" s="4"/>
      <c r="L195" s="4"/>
      <c r="M195" s="4"/>
      <c r="N195" s="4"/>
      <c r="O195" s="4"/>
      <c r="P195" s="4"/>
      <c r="Q195" s="4"/>
      <c r="R195" s="4"/>
    </row>
    <row r="196" spans="1:18">
      <c r="A196" s="4"/>
      <c r="B196" s="4"/>
      <c r="C196" s="9"/>
      <c r="D196" s="4"/>
      <c r="E196" s="4"/>
      <c r="F196" s="4"/>
      <c r="G196" s="4"/>
      <c r="H196" s="4"/>
      <c r="I196" s="4"/>
      <c r="J196" s="4"/>
      <c r="K196" s="4"/>
      <c r="L196" s="4"/>
      <c r="M196" s="4"/>
      <c r="N196" s="4"/>
      <c r="O196" s="4"/>
      <c r="P196" s="4"/>
      <c r="Q196" s="4"/>
      <c r="R196" s="4"/>
    </row>
    <row r="197" spans="1:18">
      <c r="A197" s="4"/>
      <c r="B197" s="4"/>
      <c r="C197" s="9"/>
      <c r="D197" s="4"/>
      <c r="E197" s="4"/>
      <c r="F197" s="4"/>
      <c r="G197" s="4"/>
      <c r="H197" s="4"/>
      <c r="I197" s="4"/>
      <c r="J197" s="4"/>
      <c r="K197" s="4"/>
      <c r="L197" s="4"/>
      <c r="M197" s="4"/>
      <c r="N197" s="4"/>
      <c r="O197" s="4"/>
      <c r="P197" s="4"/>
      <c r="Q197" s="4"/>
      <c r="R197" s="4"/>
    </row>
    <row r="198" spans="1:18">
      <c r="A198" s="4"/>
      <c r="B198" s="4"/>
      <c r="C198" s="9"/>
      <c r="D198" s="4"/>
      <c r="E198" s="4"/>
      <c r="F198" s="4"/>
      <c r="G198" s="4"/>
      <c r="H198" s="4"/>
      <c r="I198" s="4"/>
      <c r="J198" s="4"/>
      <c r="K198" s="4"/>
      <c r="L198" s="4"/>
      <c r="M198" s="4"/>
      <c r="N198" s="4"/>
      <c r="O198" s="4"/>
      <c r="P198" s="4"/>
      <c r="Q198" s="4"/>
      <c r="R198" s="4"/>
    </row>
    <row r="199" spans="1:18">
      <c r="A199" s="4"/>
      <c r="B199" s="4"/>
      <c r="C199" s="9"/>
      <c r="D199" s="4"/>
      <c r="E199" s="4"/>
      <c r="F199" s="4"/>
      <c r="G199" s="4"/>
      <c r="H199" s="4"/>
      <c r="I199" s="4"/>
      <c r="J199" s="4"/>
      <c r="K199" s="4"/>
      <c r="L199" s="4"/>
      <c r="M199" s="4"/>
      <c r="N199" s="4"/>
      <c r="O199" s="4"/>
      <c r="P199" s="4"/>
      <c r="Q199" s="4"/>
      <c r="R199" s="4"/>
    </row>
    <row r="200" spans="1:18">
      <c r="A200" s="4"/>
      <c r="B200" s="4"/>
      <c r="C200" s="9"/>
      <c r="D200" s="4"/>
      <c r="E200" s="4"/>
      <c r="F200" s="4"/>
      <c r="G200" s="4"/>
      <c r="H200" s="4"/>
      <c r="I200" s="4"/>
      <c r="J200" s="4"/>
      <c r="K200" s="4"/>
      <c r="L200" s="4"/>
      <c r="M200" s="4"/>
      <c r="N200" s="4"/>
      <c r="O200" s="4"/>
      <c r="P200" s="4"/>
      <c r="Q200" s="4"/>
      <c r="R200" s="4"/>
    </row>
    <row r="201" spans="1:18">
      <c r="A201" s="4"/>
      <c r="B201" s="4"/>
      <c r="C201" s="9"/>
      <c r="D201" s="4"/>
      <c r="E201" s="4"/>
      <c r="F201" s="4"/>
      <c r="G201" s="4"/>
      <c r="H201" s="4"/>
      <c r="I201" s="4"/>
      <c r="J201" s="4"/>
      <c r="K201" s="4"/>
      <c r="L201" s="4"/>
      <c r="M201" s="4"/>
      <c r="N201" s="4"/>
      <c r="O201" s="4"/>
      <c r="P201" s="4"/>
      <c r="Q201" s="4"/>
      <c r="R201" s="4"/>
    </row>
    <row r="202" spans="1:18">
      <c r="A202" s="4"/>
      <c r="B202" s="4"/>
      <c r="C202" s="9"/>
      <c r="D202" s="4"/>
      <c r="E202" s="4"/>
      <c r="F202" s="4"/>
      <c r="G202" s="4"/>
      <c r="H202" s="4"/>
      <c r="I202" s="4"/>
      <c r="J202" s="4"/>
      <c r="K202" s="4"/>
      <c r="L202" s="4"/>
      <c r="M202" s="4"/>
      <c r="N202" s="4"/>
      <c r="O202" s="4"/>
      <c r="P202" s="4"/>
      <c r="Q202" s="4"/>
      <c r="R202" s="4"/>
    </row>
    <row r="203" spans="1:18">
      <c r="A203" s="4"/>
      <c r="B203" s="4"/>
      <c r="C203" s="9"/>
      <c r="D203" s="4"/>
      <c r="E203" s="4"/>
      <c r="F203" s="4"/>
      <c r="G203" s="4"/>
      <c r="H203" s="4"/>
      <c r="I203" s="4"/>
      <c r="J203" s="4"/>
      <c r="K203" s="4"/>
      <c r="L203" s="4"/>
      <c r="M203" s="4"/>
      <c r="N203" s="4"/>
      <c r="O203" s="4"/>
      <c r="P203" s="4"/>
      <c r="Q203" s="4"/>
      <c r="R203" s="4"/>
    </row>
    <row r="204" spans="1:18">
      <c r="A204" s="4"/>
      <c r="B204" s="4"/>
      <c r="C204" s="9"/>
      <c r="D204" s="4"/>
      <c r="E204" s="4"/>
      <c r="F204" s="4"/>
      <c r="G204" s="4"/>
      <c r="H204" s="4"/>
      <c r="I204" s="4"/>
      <c r="J204" s="4"/>
      <c r="K204" s="4"/>
      <c r="L204" s="4"/>
      <c r="M204" s="4"/>
      <c r="N204" s="4"/>
      <c r="O204" s="4"/>
      <c r="P204" s="4"/>
      <c r="Q204" s="4"/>
      <c r="R204" s="4"/>
    </row>
    <row r="205" spans="1:18">
      <c r="A205" s="4"/>
      <c r="B205" s="4"/>
      <c r="C205" s="9"/>
      <c r="D205" s="4"/>
      <c r="E205" s="4"/>
      <c r="F205" s="4"/>
      <c r="G205" s="4"/>
      <c r="H205" s="4"/>
      <c r="I205" s="4"/>
      <c r="J205" s="4"/>
      <c r="K205" s="4"/>
      <c r="L205" s="4"/>
      <c r="M205" s="4"/>
      <c r="N205" s="4"/>
      <c r="O205" s="4"/>
      <c r="P205" s="4"/>
      <c r="Q205" s="4"/>
      <c r="R205" s="4"/>
    </row>
    <row r="206" spans="1:18">
      <c r="A206" s="4"/>
      <c r="B206" s="4"/>
      <c r="C206" s="9"/>
      <c r="D206" s="4"/>
      <c r="E206" s="4"/>
      <c r="F206" s="4"/>
      <c r="G206" s="4"/>
      <c r="H206" s="4"/>
      <c r="I206" s="4"/>
      <c r="J206" s="4"/>
      <c r="K206" s="4"/>
      <c r="L206" s="4"/>
      <c r="M206" s="4"/>
      <c r="N206" s="4"/>
      <c r="O206" s="4"/>
      <c r="P206" s="4"/>
      <c r="Q206" s="4"/>
      <c r="R206" s="4"/>
    </row>
    <row r="207" spans="1:18">
      <c r="A207" s="4"/>
      <c r="B207" s="4"/>
      <c r="C207" s="9"/>
      <c r="D207" s="4"/>
      <c r="E207" s="4"/>
      <c r="F207" s="4"/>
      <c r="G207" s="4"/>
      <c r="H207" s="4"/>
      <c r="I207" s="4"/>
      <c r="J207" s="4"/>
      <c r="K207" s="4"/>
      <c r="L207" s="4"/>
      <c r="M207" s="4"/>
      <c r="N207" s="4"/>
      <c r="O207" s="4"/>
      <c r="P207" s="4"/>
      <c r="Q207" s="4"/>
      <c r="R207" s="4"/>
    </row>
    <row r="208" spans="1:18">
      <c r="A208" s="4"/>
      <c r="B208" s="4"/>
      <c r="C208" s="9"/>
      <c r="D208" s="4"/>
      <c r="E208" s="4"/>
      <c r="F208" s="4"/>
      <c r="G208" s="4"/>
      <c r="H208" s="4"/>
      <c r="I208" s="4"/>
      <c r="J208" s="4"/>
      <c r="K208" s="4"/>
      <c r="L208" s="4"/>
      <c r="M208" s="4"/>
      <c r="N208" s="4"/>
      <c r="O208" s="4"/>
      <c r="P208" s="4"/>
      <c r="Q208" s="4"/>
      <c r="R208" s="4"/>
    </row>
    <row r="209" spans="1:18">
      <c r="A209" s="4"/>
      <c r="B209" s="4"/>
      <c r="C209" s="9"/>
      <c r="D209" s="4"/>
      <c r="E209" s="4"/>
      <c r="F209" s="4"/>
      <c r="G209" s="4"/>
      <c r="H209" s="4"/>
      <c r="I209" s="4"/>
      <c r="J209" s="4"/>
      <c r="K209" s="4"/>
      <c r="L209" s="4"/>
      <c r="M209" s="4"/>
      <c r="N209" s="4"/>
      <c r="O209" s="4"/>
      <c r="P209" s="4"/>
      <c r="Q209" s="4"/>
      <c r="R209" s="4"/>
    </row>
    <row r="210" spans="1:18">
      <c r="A210" s="4"/>
      <c r="B210" s="4"/>
      <c r="C210" s="9"/>
      <c r="D210" s="4"/>
      <c r="E210" s="4"/>
      <c r="F210" s="4"/>
      <c r="G210" s="4"/>
      <c r="H210" s="4"/>
      <c r="I210" s="4"/>
      <c r="J210" s="4"/>
      <c r="K210" s="4"/>
      <c r="L210" s="4"/>
      <c r="M210" s="4"/>
      <c r="N210" s="4"/>
      <c r="O210" s="4"/>
      <c r="P210" s="4"/>
      <c r="Q210" s="4"/>
      <c r="R210" s="4"/>
    </row>
    <row r="211" spans="1:18">
      <c r="A211" s="4"/>
      <c r="B211" s="4"/>
      <c r="C211" s="9"/>
      <c r="D211" s="4"/>
      <c r="E211" s="4"/>
      <c r="F211" s="4"/>
      <c r="G211" s="4"/>
      <c r="H211" s="4"/>
      <c r="I211" s="4"/>
      <c r="J211" s="4"/>
      <c r="K211" s="4"/>
      <c r="L211" s="4"/>
      <c r="M211" s="4"/>
      <c r="N211" s="4"/>
      <c r="O211" s="4"/>
      <c r="P211" s="4"/>
      <c r="Q211" s="4"/>
      <c r="R211" s="4"/>
    </row>
    <row r="212" spans="1:18">
      <c r="A212" s="4"/>
      <c r="B212" s="4"/>
      <c r="C212" s="9"/>
      <c r="D212" s="4"/>
      <c r="E212" s="4"/>
      <c r="F212" s="4"/>
      <c r="G212" s="4"/>
      <c r="H212" s="4"/>
      <c r="I212" s="4"/>
      <c r="J212" s="4"/>
      <c r="K212" s="4"/>
      <c r="L212" s="4"/>
      <c r="M212" s="4"/>
      <c r="N212" s="4"/>
      <c r="O212" s="4"/>
      <c r="P212" s="4"/>
      <c r="Q212" s="4"/>
      <c r="R212" s="4"/>
    </row>
    <row r="213" spans="1:18">
      <c r="A213" s="4"/>
      <c r="B213" s="4"/>
      <c r="C213" s="9"/>
      <c r="D213" s="4"/>
      <c r="E213" s="4"/>
      <c r="F213" s="4"/>
      <c r="G213" s="4"/>
      <c r="H213" s="4"/>
      <c r="I213" s="4"/>
      <c r="J213" s="4"/>
      <c r="K213" s="4"/>
      <c r="L213" s="4"/>
      <c r="M213" s="4"/>
      <c r="N213" s="4"/>
      <c r="O213" s="4"/>
      <c r="P213" s="4"/>
      <c r="Q213" s="4"/>
      <c r="R213" s="4"/>
    </row>
    <row r="214" spans="1:18">
      <c r="A214" s="4"/>
      <c r="B214" s="4"/>
      <c r="C214" s="9"/>
      <c r="D214" s="4"/>
      <c r="E214" s="4"/>
      <c r="F214" s="4"/>
      <c r="G214" s="4"/>
      <c r="H214" s="4"/>
      <c r="I214" s="4"/>
      <c r="J214" s="4"/>
      <c r="K214" s="4"/>
      <c r="L214" s="4"/>
      <c r="M214" s="4"/>
      <c r="N214" s="4"/>
      <c r="O214" s="4"/>
      <c r="P214" s="4"/>
      <c r="Q214" s="4"/>
      <c r="R214" s="4"/>
    </row>
    <row r="215" spans="1:18">
      <c r="A215" s="4"/>
      <c r="B215" s="4"/>
      <c r="C215" s="9"/>
      <c r="D215" s="4"/>
      <c r="E215" s="4"/>
      <c r="F215" s="4"/>
      <c r="G215" s="4"/>
      <c r="H215" s="4"/>
      <c r="I215" s="4"/>
      <c r="J215" s="4"/>
      <c r="K215" s="4"/>
      <c r="L215" s="4"/>
      <c r="M215" s="4"/>
      <c r="N215" s="4"/>
      <c r="O215" s="4"/>
      <c r="P215" s="4"/>
      <c r="Q215" s="4"/>
      <c r="R215" s="4"/>
    </row>
    <row r="216" spans="1:18">
      <c r="A216" s="4"/>
      <c r="B216" s="4"/>
      <c r="C216" s="9"/>
      <c r="D216" s="4"/>
      <c r="E216" s="4"/>
      <c r="F216" s="4"/>
      <c r="G216" s="4"/>
      <c r="H216" s="4"/>
      <c r="I216" s="4"/>
      <c r="J216" s="4"/>
      <c r="K216" s="4"/>
      <c r="L216" s="4"/>
      <c r="M216" s="4"/>
      <c r="N216" s="4"/>
      <c r="O216" s="4"/>
      <c r="P216" s="4"/>
      <c r="Q216" s="4"/>
      <c r="R216" s="4"/>
    </row>
  </sheetData>
  <phoneticPr fontId="3" type="noConversion"/>
  <printOptions horizontalCentered="1" verticalCentered="1"/>
  <pageMargins left="0.25" right="0.25" top="0.25" bottom="0.25"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V8193"/>
  <sheetViews>
    <sheetView defaultGridColor="0" colorId="22" zoomScale="50" workbookViewId="0"/>
  </sheetViews>
  <sheetFormatPr defaultColWidth="12.5546875" defaultRowHeight="15.6"/>
  <cols>
    <col min="1" max="1" width="22.88671875" style="43" customWidth="1"/>
    <col min="2" max="2" width="13.44140625" style="44" customWidth="1"/>
    <col min="3" max="3" width="13.109375" style="44" customWidth="1"/>
    <col min="4" max="4" width="12.5546875" style="44"/>
    <col min="5" max="5" width="14.88671875" style="44" customWidth="1"/>
    <col min="6" max="6" width="12.5546875" style="44"/>
    <col min="7" max="7" width="13.5546875" style="44" bestFit="1" customWidth="1"/>
    <col min="8" max="8" width="13.33203125" style="44" bestFit="1" customWidth="1"/>
    <col min="9" max="9" width="14.109375" style="44" bestFit="1" customWidth="1"/>
    <col min="10" max="11" width="12.5546875" style="44"/>
    <col min="12" max="12" width="14.109375" style="44" bestFit="1" customWidth="1"/>
    <col min="13" max="13" width="15.109375" style="43" customWidth="1"/>
    <col min="14" max="14" width="17.6640625" style="43" customWidth="1"/>
    <col min="15" max="15" width="17.88671875" style="43" customWidth="1"/>
    <col min="16" max="16" width="14.44140625" style="43" customWidth="1"/>
    <col min="17" max="19" width="15" style="43" customWidth="1"/>
    <col min="20" max="20" width="12.5546875" style="43"/>
    <col min="21" max="22" width="13.88671875" style="47" customWidth="1"/>
    <col min="23" max="23" width="12.5546875" style="43"/>
    <col min="24" max="24" width="13.33203125" style="43" customWidth="1"/>
    <col min="25" max="16384" width="12.5546875" style="43"/>
  </cols>
  <sheetData>
    <row r="1" spans="1:41" ht="21">
      <c r="A1" s="127" t="s">
        <v>192</v>
      </c>
      <c r="L1" s="45"/>
      <c r="M1" s="46"/>
    </row>
    <row r="2" spans="1:41">
      <c r="L2" s="45"/>
      <c r="M2" s="46"/>
      <c r="AN2" s="47"/>
      <c r="AO2" s="47"/>
    </row>
    <row r="3" spans="1:41" ht="18">
      <c r="L3" s="48"/>
      <c r="M3" s="49"/>
      <c r="R3" s="50"/>
      <c r="S3" s="51"/>
      <c r="AN3" s="47"/>
      <c r="AO3" s="47"/>
    </row>
    <row r="4" spans="1:41">
      <c r="E4" s="52"/>
      <c r="G4" s="53"/>
      <c r="I4" s="54"/>
      <c r="L4" s="45"/>
      <c r="M4" s="46"/>
      <c r="AM4" s="47"/>
      <c r="AN4" s="47"/>
      <c r="AO4" s="47"/>
    </row>
    <row r="5" spans="1:41" ht="18">
      <c r="A5" s="43" t="s">
        <v>125</v>
      </c>
      <c r="C5" s="64">
        <f>0</f>
        <v>0</v>
      </c>
      <c r="D5" s="56"/>
      <c r="E5" s="57"/>
      <c r="F5" s="56"/>
      <c r="G5" s="58"/>
      <c r="H5" s="56"/>
      <c r="I5" s="59"/>
      <c r="J5" s="56"/>
      <c r="K5" s="56"/>
      <c r="L5" s="45"/>
      <c r="M5" s="46"/>
      <c r="N5" s="60"/>
      <c r="O5" s="61"/>
      <c r="P5" s="55"/>
      <c r="Q5" s="62"/>
      <c r="R5" s="63"/>
      <c r="S5" s="51"/>
      <c r="AM5" s="47"/>
      <c r="AN5" s="47"/>
      <c r="AO5" s="47"/>
    </row>
    <row r="6" spans="1:41">
      <c r="A6" s="107" t="s">
        <v>180</v>
      </c>
      <c r="C6" s="64">
        <v>0.06</v>
      </c>
      <c r="E6" s="44" t="s">
        <v>126</v>
      </c>
      <c r="G6" s="64">
        <v>0.8</v>
      </c>
      <c r="I6" s="65" t="s">
        <v>127</v>
      </c>
      <c r="J6" s="44">
        <v>750000</v>
      </c>
      <c r="T6" s="66"/>
      <c r="AM6" s="47"/>
      <c r="AN6" s="47"/>
      <c r="AO6" s="47"/>
    </row>
    <row r="7" spans="1:41">
      <c r="A7" s="107" t="s">
        <v>178</v>
      </c>
      <c r="C7" s="64">
        <v>7.4999999999999997E-2</v>
      </c>
      <c r="E7" s="44" t="s">
        <v>129</v>
      </c>
      <c r="G7" s="67">
        <v>27.5</v>
      </c>
      <c r="H7" s="44" t="s">
        <v>130</v>
      </c>
      <c r="I7" s="65" t="s">
        <v>131</v>
      </c>
      <c r="J7" s="64">
        <v>5.5E-2</v>
      </c>
      <c r="AL7" s="68"/>
      <c r="AM7" s="47"/>
      <c r="AN7" s="47"/>
      <c r="AO7" s="47"/>
    </row>
    <row r="8" spans="1:41">
      <c r="A8" s="43" t="s">
        <v>132</v>
      </c>
      <c r="C8" s="64">
        <v>0.35</v>
      </c>
      <c r="E8" s="44" t="s">
        <v>133</v>
      </c>
      <c r="G8" s="64">
        <v>0.15</v>
      </c>
      <c r="I8" s="65" t="s">
        <v>134</v>
      </c>
      <c r="J8" s="44">
        <v>2000</v>
      </c>
      <c r="T8" s="69"/>
      <c r="U8" s="70"/>
      <c r="AL8" s="68"/>
      <c r="AM8" s="47"/>
      <c r="AN8" s="47"/>
      <c r="AO8" s="47"/>
    </row>
    <row r="9" spans="1:41">
      <c r="A9" s="43" t="s">
        <v>135</v>
      </c>
      <c r="C9" s="64">
        <f>0.25</f>
        <v>0.25</v>
      </c>
      <c r="E9" s="44" t="s">
        <v>136</v>
      </c>
      <c r="G9" s="64">
        <v>0.25</v>
      </c>
      <c r="AL9" s="68"/>
      <c r="AM9" s="47"/>
      <c r="AN9" s="47"/>
      <c r="AO9" s="47"/>
    </row>
    <row r="10" spans="1:41">
      <c r="B10" s="71" t="s">
        <v>137</v>
      </c>
      <c r="C10" s="71" t="s">
        <v>138</v>
      </c>
      <c r="D10" s="71" t="s">
        <v>139</v>
      </c>
      <c r="E10" s="71" t="s">
        <v>140</v>
      </c>
      <c r="F10" s="71" t="s">
        <v>141</v>
      </c>
      <c r="G10" s="71" t="s">
        <v>142</v>
      </c>
      <c r="H10" s="71" t="s">
        <v>143</v>
      </c>
      <c r="I10" s="71" t="s">
        <v>144</v>
      </c>
      <c r="J10" s="71" t="s">
        <v>145</v>
      </c>
      <c r="K10" s="71" t="s">
        <v>146</v>
      </c>
      <c r="L10" s="71" t="s">
        <v>147</v>
      </c>
      <c r="M10" s="71" t="s">
        <v>148</v>
      </c>
      <c r="N10" s="72" t="s">
        <v>149</v>
      </c>
      <c r="T10" s="73"/>
      <c r="AL10" s="68"/>
      <c r="AM10" s="47"/>
      <c r="AN10" s="47"/>
      <c r="AO10" s="47"/>
    </row>
    <row r="11" spans="1:41">
      <c r="F11" s="65" t="s">
        <v>150</v>
      </c>
      <c r="H11" s="65" t="s">
        <v>151</v>
      </c>
      <c r="J11" s="65" t="s">
        <v>152</v>
      </c>
      <c r="L11" s="65" t="s">
        <v>153</v>
      </c>
      <c r="M11" s="65" t="s">
        <v>154</v>
      </c>
      <c r="N11" s="74" t="s">
        <v>155</v>
      </c>
      <c r="AL11" s="68"/>
      <c r="AM11" s="47"/>
      <c r="AN11" s="47"/>
      <c r="AO11" s="47"/>
    </row>
    <row r="12" spans="1:41">
      <c r="A12" s="75" t="s">
        <v>0</v>
      </c>
      <c r="B12" s="65" t="s">
        <v>1</v>
      </c>
      <c r="C12" s="65" t="s">
        <v>118</v>
      </c>
      <c r="D12" s="65" t="s">
        <v>2</v>
      </c>
      <c r="E12" s="65" t="s">
        <v>83</v>
      </c>
      <c r="F12" s="65" t="s">
        <v>3</v>
      </c>
      <c r="G12" s="65" t="s">
        <v>4</v>
      </c>
      <c r="H12" s="65" t="s">
        <v>5</v>
      </c>
      <c r="I12" s="65" t="s">
        <v>6</v>
      </c>
      <c r="J12" s="65" t="s">
        <v>7</v>
      </c>
      <c r="K12" s="65" t="s">
        <v>8</v>
      </c>
      <c r="L12" s="65" t="s">
        <v>9</v>
      </c>
      <c r="M12" s="65" t="s">
        <v>10</v>
      </c>
      <c r="N12" s="65" t="s">
        <v>11</v>
      </c>
      <c r="P12" s="76"/>
      <c r="Q12" s="76"/>
      <c r="R12" s="76"/>
      <c r="S12" s="76"/>
      <c r="U12" s="70"/>
      <c r="AL12" s="68"/>
      <c r="AM12" s="47"/>
      <c r="AN12" s="47"/>
      <c r="AO12" s="47"/>
    </row>
    <row r="13" spans="1:41">
      <c r="A13" s="77">
        <v>0</v>
      </c>
      <c r="B13" s="78">
        <f>C14/C6</f>
        <v>950000</v>
      </c>
      <c r="E13" s="78">
        <f>-B13</f>
        <v>-950000</v>
      </c>
      <c r="H13" s="78">
        <f>-(B13-(J6+N13))</f>
        <v>-917119.29744056019</v>
      </c>
      <c r="I13" s="44">
        <f>J6</f>
        <v>750000</v>
      </c>
      <c r="J13" s="78">
        <f>-J6</f>
        <v>-750000</v>
      </c>
      <c r="L13" s="78">
        <f t="shared" ref="L13:L23" si="0">E13-J13</f>
        <v>-200000</v>
      </c>
      <c r="M13" s="44">
        <f>-(B13-J6)</f>
        <v>-200000</v>
      </c>
      <c r="N13" s="79">
        <f>-NPV(N25,N14:N23)</f>
        <v>-717119.29744056019</v>
      </c>
      <c r="O13" s="79"/>
      <c r="P13" s="79"/>
      <c r="Q13" s="79"/>
      <c r="R13" s="79"/>
      <c r="S13" s="79"/>
      <c r="AL13" s="68"/>
      <c r="AM13" s="47"/>
      <c r="AN13" s="47"/>
      <c r="AO13" s="47"/>
    </row>
    <row r="14" spans="1:41">
      <c r="A14" s="77">
        <f t="shared" ref="A14:A23" si="1">1+A13</f>
        <v>1</v>
      </c>
      <c r="B14" s="78"/>
      <c r="C14" s="44">
        <v>57000</v>
      </c>
      <c r="D14" s="44">
        <v>0</v>
      </c>
      <c r="E14" s="78">
        <f t="shared" ref="E14:E22" si="2">C14-D14</f>
        <v>57000</v>
      </c>
      <c r="F14" s="44">
        <f t="shared" ref="F14:F22" si="3">C$8*C14</f>
        <v>19950</v>
      </c>
      <c r="G14" s="44">
        <f>$B$13*$C$8*$G$6/$G$7</f>
        <v>9672.7272727272721</v>
      </c>
      <c r="H14" s="78">
        <f t="shared" ref="H14:H23" si="4">E14-F14+G14</f>
        <v>46722.727272727272</v>
      </c>
      <c r="I14" s="44">
        <f t="shared" ref="I14:I23" si="5">I13-$J$8</f>
        <v>748000</v>
      </c>
      <c r="J14" s="44">
        <f t="shared" ref="J14:J22" si="6">$J$7*I13+$J$8</f>
        <v>43250</v>
      </c>
      <c r="K14" s="44">
        <f t="shared" ref="K14:K23" si="7">C$8*I13*J$7</f>
        <v>14437.5</v>
      </c>
      <c r="L14" s="44">
        <f t="shared" si="0"/>
        <v>13750</v>
      </c>
      <c r="M14" s="44">
        <f t="shared" ref="M14:M23" si="8">H14-J14+K14</f>
        <v>17910.227272727272</v>
      </c>
      <c r="N14" s="79">
        <f t="shared" ref="N14:N23" si="9">J14-K14</f>
        <v>28812.5</v>
      </c>
      <c r="O14" s="79"/>
      <c r="P14" s="79"/>
      <c r="Q14" s="80"/>
      <c r="R14" s="81"/>
      <c r="S14" s="81"/>
      <c r="U14" s="70"/>
      <c r="AL14" s="68"/>
      <c r="AM14" s="47"/>
      <c r="AN14" s="47"/>
      <c r="AO14" s="47"/>
    </row>
    <row r="15" spans="1:41">
      <c r="A15" s="77">
        <f t="shared" si="1"/>
        <v>2</v>
      </c>
      <c r="B15" s="78"/>
      <c r="C15" s="44">
        <f t="shared" ref="C15:C24" si="10">(1+C$5)*C14</f>
        <v>57000</v>
      </c>
      <c r="D15" s="44">
        <v>0</v>
      </c>
      <c r="E15" s="78">
        <f t="shared" si="2"/>
        <v>57000</v>
      </c>
      <c r="F15" s="44">
        <f t="shared" si="3"/>
        <v>19950</v>
      </c>
      <c r="G15" s="44">
        <f t="shared" ref="G15:G22" si="11">B$13*C$8*G$6/G$7</f>
        <v>9672.7272727272721</v>
      </c>
      <c r="H15" s="78">
        <f t="shared" si="4"/>
        <v>46722.727272727272</v>
      </c>
      <c r="I15" s="44">
        <f t="shared" si="5"/>
        <v>746000</v>
      </c>
      <c r="J15" s="44">
        <f t="shared" si="6"/>
        <v>43140</v>
      </c>
      <c r="K15" s="44">
        <f t="shared" si="7"/>
        <v>14398.999999999998</v>
      </c>
      <c r="L15" s="44">
        <f t="shared" si="0"/>
        <v>13860</v>
      </c>
      <c r="M15" s="44">
        <f t="shared" si="8"/>
        <v>17981.727272727272</v>
      </c>
      <c r="N15" s="79">
        <f t="shared" si="9"/>
        <v>28741</v>
      </c>
      <c r="O15" s="79"/>
      <c r="P15" s="79"/>
      <c r="Q15" s="80"/>
      <c r="R15" s="81"/>
      <c r="S15" s="81"/>
      <c r="AL15" s="68"/>
      <c r="AM15" s="47"/>
      <c r="AN15" s="47"/>
      <c r="AO15" s="47"/>
    </row>
    <row r="16" spans="1:41">
      <c r="A16" s="77">
        <f t="shared" si="1"/>
        <v>3</v>
      </c>
      <c r="B16" s="78"/>
      <c r="C16" s="44">
        <f t="shared" si="10"/>
        <v>57000</v>
      </c>
      <c r="D16" s="44">
        <v>50000</v>
      </c>
      <c r="E16" s="78">
        <f t="shared" si="2"/>
        <v>7000</v>
      </c>
      <c r="F16" s="44">
        <f t="shared" si="3"/>
        <v>19950</v>
      </c>
      <c r="G16" s="44">
        <f t="shared" si="11"/>
        <v>9672.7272727272721</v>
      </c>
      <c r="H16" s="78">
        <f t="shared" si="4"/>
        <v>-3277.2727272727279</v>
      </c>
      <c r="I16" s="44">
        <f t="shared" si="5"/>
        <v>744000</v>
      </c>
      <c r="J16" s="44">
        <f t="shared" si="6"/>
        <v>43030</v>
      </c>
      <c r="K16" s="44">
        <f t="shared" si="7"/>
        <v>14360.499999999998</v>
      </c>
      <c r="L16" s="44">
        <f t="shared" si="0"/>
        <v>-36030</v>
      </c>
      <c r="M16" s="44">
        <f t="shared" si="8"/>
        <v>-31946.772727272728</v>
      </c>
      <c r="N16" s="79">
        <f t="shared" si="9"/>
        <v>28669.5</v>
      </c>
      <c r="O16" s="79"/>
      <c r="P16" s="79"/>
      <c r="Q16" s="80"/>
      <c r="R16" s="81"/>
      <c r="S16" s="81"/>
      <c r="AL16" s="68"/>
      <c r="AM16" s="47"/>
      <c r="AN16" s="47"/>
      <c r="AO16" s="47"/>
    </row>
    <row r="17" spans="1:41">
      <c r="A17" s="77">
        <f t="shared" si="1"/>
        <v>4</v>
      </c>
      <c r="B17" s="78"/>
      <c r="C17" s="44">
        <f t="shared" si="10"/>
        <v>57000</v>
      </c>
      <c r="D17" s="44">
        <v>0</v>
      </c>
      <c r="E17" s="78">
        <f t="shared" si="2"/>
        <v>57000</v>
      </c>
      <c r="F17" s="44">
        <f t="shared" si="3"/>
        <v>19950</v>
      </c>
      <c r="G17" s="44">
        <f t="shared" si="11"/>
        <v>9672.7272727272721</v>
      </c>
      <c r="H17" s="78">
        <f t="shared" si="4"/>
        <v>46722.727272727272</v>
      </c>
      <c r="I17" s="44">
        <f t="shared" si="5"/>
        <v>742000</v>
      </c>
      <c r="J17" s="44">
        <f t="shared" si="6"/>
        <v>42920</v>
      </c>
      <c r="K17" s="44">
        <f t="shared" si="7"/>
        <v>14321.999999999998</v>
      </c>
      <c r="L17" s="44">
        <f t="shared" si="0"/>
        <v>14080</v>
      </c>
      <c r="M17" s="44">
        <f t="shared" si="8"/>
        <v>18124.727272727272</v>
      </c>
      <c r="N17" s="79">
        <f t="shared" si="9"/>
        <v>28598</v>
      </c>
      <c r="O17" s="79"/>
      <c r="P17" s="79"/>
      <c r="Q17" s="80"/>
      <c r="R17" s="81"/>
      <c r="S17" s="81"/>
      <c r="AL17" s="68"/>
      <c r="AM17" s="47"/>
      <c r="AN17" s="47"/>
      <c r="AO17" s="47"/>
    </row>
    <row r="18" spans="1:41">
      <c r="A18" s="77">
        <f t="shared" si="1"/>
        <v>5</v>
      </c>
      <c r="B18" s="78"/>
      <c r="C18" s="44">
        <f t="shared" si="10"/>
        <v>57000</v>
      </c>
      <c r="D18" s="44">
        <v>0</v>
      </c>
      <c r="E18" s="78">
        <f t="shared" si="2"/>
        <v>57000</v>
      </c>
      <c r="F18" s="44">
        <f t="shared" si="3"/>
        <v>19950</v>
      </c>
      <c r="G18" s="44">
        <f t="shared" si="11"/>
        <v>9672.7272727272721</v>
      </c>
      <c r="H18" s="78">
        <f t="shared" si="4"/>
        <v>46722.727272727272</v>
      </c>
      <c r="I18" s="44">
        <f t="shared" si="5"/>
        <v>740000</v>
      </c>
      <c r="J18" s="44">
        <f t="shared" si="6"/>
        <v>42810</v>
      </c>
      <c r="K18" s="44">
        <f t="shared" si="7"/>
        <v>14283.499999999998</v>
      </c>
      <c r="L18" s="44">
        <f t="shared" si="0"/>
        <v>14190</v>
      </c>
      <c r="M18" s="44">
        <f t="shared" si="8"/>
        <v>18196.227272727272</v>
      </c>
      <c r="N18" s="79">
        <f t="shared" si="9"/>
        <v>28526.5</v>
      </c>
      <c r="O18" s="79"/>
      <c r="P18" s="79"/>
      <c r="Q18" s="80"/>
      <c r="R18" s="81"/>
      <c r="S18" s="81"/>
      <c r="AL18" s="68"/>
      <c r="AM18" s="47"/>
      <c r="AN18" s="47"/>
      <c r="AO18" s="47"/>
    </row>
    <row r="19" spans="1:41">
      <c r="A19" s="77">
        <f t="shared" si="1"/>
        <v>6</v>
      </c>
      <c r="B19" s="78"/>
      <c r="C19" s="44">
        <f t="shared" si="10"/>
        <v>57000</v>
      </c>
      <c r="D19" s="44">
        <v>0</v>
      </c>
      <c r="E19" s="78">
        <f t="shared" si="2"/>
        <v>57000</v>
      </c>
      <c r="F19" s="44">
        <f t="shared" si="3"/>
        <v>19950</v>
      </c>
      <c r="G19" s="44">
        <f t="shared" si="11"/>
        <v>9672.7272727272721</v>
      </c>
      <c r="H19" s="78">
        <f t="shared" si="4"/>
        <v>46722.727272727272</v>
      </c>
      <c r="I19" s="44">
        <f t="shared" si="5"/>
        <v>738000</v>
      </c>
      <c r="J19" s="44">
        <f t="shared" si="6"/>
        <v>42700</v>
      </c>
      <c r="K19" s="44">
        <f t="shared" si="7"/>
        <v>14244.999999999998</v>
      </c>
      <c r="L19" s="44">
        <f t="shared" si="0"/>
        <v>14300</v>
      </c>
      <c r="M19" s="44">
        <f t="shared" si="8"/>
        <v>18267.727272727272</v>
      </c>
      <c r="N19" s="79">
        <f t="shared" si="9"/>
        <v>28455</v>
      </c>
      <c r="O19" s="79"/>
      <c r="P19" s="79"/>
      <c r="Q19" s="80"/>
      <c r="R19" s="81"/>
      <c r="S19" s="81"/>
      <c r="W19" s="47"/>
      <c r="Y19" s="47"/>
      <c r="AA19" s="47"/>
      <c r="AL19" s="68"/>
      <c r="AM19" s="47"/>
      <c r="AN19" s="47"/>
      <c r="AO19" s="47"/>
    </row>
    <row r="20" spans="1:41">
      <c r="A20" s="77">
        <f t="shared" si="1"/>
        <v>7</v>
      </c>
      <c r="B20" s="78"/>
      <c r="C20" s="44">
        <f t="shared" si="10"/>
        <v>57000</v>
      </c>
      <c r="D20" s="44">
        <v>0</v>
      </c>
      <c r="E20" s="78">
        <f t="shared" si="2"/>
        <v>57000</v>
      </c>
      <c r="F20" s="44">
        <f t="shared" si="3"/>
        <v>19950</v>
      </c>
      <c r="G20" s="44">
        <f t="shared" si="11"/>
        <v>9672.7272727272721</v>
      </c>
      <c r="H20" s="78">
        <f t="shared" si="4"/>
        <v>46722.727272727272</v>
      </c>
      <c r="I20" s="44">
        <f t="shared" si="5"/>
        <v>736000</v>
      </c>
      <c r="J20" s="44">
        <f t="shared" si="6"/>
        <v>42590</v>
      </c>
      <c r="K20" s="44">
        <f t="shared" si="7"/>
        <v>14206.499999999998</v>
      </c>
      <c r="L20" s="44">
        <f t="shared" si="0"/>
        <v>14410</v>
      </c>
      <c r="M20" s="44">
        <f t="shared" si="8"/>
        <v>18339.227272727272</v>
      </c>
      <c r="N20" s="79">
        <f t="shared" si="9"/>
        <v>28383.5</v>
      </c>
      <c r="O20" s="79"/>
      <c r="P20" s="79"/>
      <c r="Q20" s="80"/>
      <c r="R20" s="81"/>
      <c r="S20" s="81"/>
      <c r="T20" s="68"/>
      <c r="W20" s="68"/>
      <c r="X20" s="47"/>
      <c r="Y20" s="47"/>
      <c r="AB20" s="47"/>
      <c r="AL20" s="68"/>
      <c r="AM20" s="47"/>
      <c r="AN20" s="47"/>
      <c r="AO20" s="47"/>
    </row>
    <row r="21" spans="1:41">
      <c r="A21" s="77">
        <f t="shared" si="1"/>
        <v>8</v>
      </c>
      <c r="B21" s="78"/>
      <c r="C21" s="44">
        <f t="shared" si="10"/>
        <v>57000</v>
      </c>
      <c r="D21" s="44">
        <v>50000</v>
      </c>
      <c r="E21" s="78">
        <f t="shared" si="2"/>
        <v>7000</v>
      </c>
      <c r="F21" s="44">
        <f t="shared" si="3"/>
        <v>19950</v>
      </c>
      <c r="G21" s="44">
        <f t="shared" si="11"/>
        <v>9672.7272727272721</v>
      </c>
      <c r="H21" s="78">
        <f t="shared" si="4"/>
        <v>-3277.2727272727279</v>
      </c>
      <c r="I21" s="44">
        <f t="shared" si="5"/>
        <v>734000</v>
      </c>
      <c r="J21" s="44">
        <f t="shared" si="6"/>
        <v>42480</v>
      </c>
      <c r="K21" s="44">
        <f t="shared" si="7"/>
        <v>14167.999999999998</v>
      </c>
      <c r="L21" s="44">
        <f t="shared" si="0"/>
        <v>-35480</v>
      </c>
      <c r="M21" s="44">
        <f t="shared" si="8"/>
        <v>-31589.272727272728</v>
      </c>
      <c r="N21" s="79">
        <f t="shared" si="9"/>
        <v>28312</v>
      </c>
      <c r="O21" s="79"/>
      <c r="P21" s="79"/>
      <c r="Q21" s="80"/>
      <c r="R21" s="81"/>
      <c r="S21" s="81"/>
      <c r="T21" s="68"/>
      <c r="W21" s="68"/>
      <c r="X21" s="47"/>
      <c r="Y21" s="47"/>
      <c r="AB21" s="47"/>
      <c r="AL21" s="68"/>
      <c r="AM21" s="47"/>
      <c r="AN21" s="47"/>
      <c r="AO21" s="47"/>
    </row>
    <row r="22" spans="1:41">
      <c r="A22" s="77">
        <f t="shared" si="1"/>
        <v>9</v>
      </c>
      <c r="B22" s="78"/>
      <c r="C22" s="44">
        <f t="shared" si="10"/>
        <v>57000</v>
      </c>
      <c r="D22" s="44">
        <v>0</v>
      </c>
      <c r="E22" s="78">
        <f t="shared" si="2"/>
        <v>57000</v>
      </c>
      <c r="F22" s="44">
        <f t="shared" si="3"/>
        <v>19950</v>
      </c>
      <c r="G22" s="44">
        <f t="shared" si="11"/>
        <v>9672.7272727272721</v>
      </c>
      <c r="H22" s="78">
        <f t="shared" si="4"/>
        <v>46722.727272727272</v>
      </c>
      <c r="I22" s="44">
        <f t="shared" si="5"/>
        <v>732000</v>
      </c>
      <c r="J22" s="44">
        <f t="shared" si="6"/>
        <v>42370</v>
      </c>
      <c r="K22" s="44">
        <f t="shared" si="7"/>
        <v>14129.499999999998</v>
      </c>
      <c r="L22" s="44">
        <f t="shared" si="0"/>
        <v>14630</v>
      </c>
      <c r="M22" s="44">
        <f t="shared" si="8"/>
        <v>18482.227272727272</v>
      </c>
      <c r="N22" s="79">
        <f t="shared" si="9"/>
        <v>28240.5</v>
      </c>
      <c r="O22" s="79"/>
      <c r="P22" s="79"/>
      <c r="Q22" s="80"/>
      <c r="R22" s="81"/>
      <c r="S22" s="81"/>
      <c r="T22" s="68"/>
      <c r="W22" s="68"/>
      <c r="X22" s="47"/>
      <c r="Y22" s="47"/>
      <c r="AL22" s="68"/>
      <c r="AM22" s="47"/>
      <c r="AN22" s="47"/>
      <c r="AO22" s="47"/>
    </row>
    <row r="23" spans="1:41">
      <c r="A23" s="77">
        <f t="shared" si="1"/>
        <v>10</v>
      </c>
      <c r="B23" s="78">
        <f>C24/C7</f>
        <v>760000</v>
      </c>
      <c r="C23" s="44">
        <f t="shared" si="10"/>
        <v>57000</v>
      </c>
      <c r="D23" s="44">
        <v>0</v>
      </c>
      <c r="E23" s="78">
        <f>B23+C23-D23</f>
        <v>817000</v>
      </c>
      <c r="F23" s="44">
        <f>C$8*C23+G$8*(B23-(B13+SUM(D14:D23)))</f>
        <v>-23550</v>
      </c>
      <c r="G23" s="44">
        <f>B$13*($C$8*$G$6/$G$7-10*$G$9*$G$6/$G$7)</f>
        <v>-59418.181818181816</v>
      </c>
      <c r="H23" s="78">
        <f t="shared" si="4"/>
        <v>781131.81818181823</v>
      </c>
      <c r="I23" s="44">
        <f t="shared" si="5"/>
        <v>730000</v>
      </c>
      <c r="J23" s="44">
        <f>$J$7*I22+I22</f>
        <v>772260</v>
      </c>
      <c r="K23" s="44">
        <f t="shared" si="7"/>
        <v>14090.999999999998</v>
      </c>
      <c r="L23" s="44">
        <f t="shared" si="0"/>
        <v>44740</v>
      </c>
      <c r="M23" s="44">
        <f t="shared" si="8"/>
        <v>22962.818181818235</v>
      </c>
      <c r="N23" s="79">
        <f t="shared" si="9"/>
        <v>758169</v>
      </c>
      <c r="O23" s="79"/>
      <c r="P23" s="79"/>
      <c r="Q23" s="80"/>
      <c r="R23" s="81"/>
      <c r="S23" s="81"/>
      <c r="T23" s="68"/>
      <c r="W23" s="68"/>
      <c r="X23" s="47"/>
      <c r="Y23" s="47"/>
      <c r="AL23" s="68"/>
      <c r="AM23" s="47"/>
      <c r="AN23" s="47"/>
      <c r="AO23" s="47"/>
    </row>
    <row r="24" spans="1:41">
      <c r="C24" s="44">
        <f t="shared" si="10"/>
        <v>57000</v>
      </c>
      <c r="M24" s="44"/>
      <c r="AL24" s="68"/>
      <c r="AM24" s="47"/>
      <c r="AN24" s="47"/>
      <c r="AO24" s="47"/>
    </row>
    <row r="25" spans="1:41">
      <c r="A25" s="64" t="s">
        <v>13</v>
      </c>
      <c r="D25" s="64"/>
      <c r="E25" s="64">
        <f>IRR(E13:E23,0.1)</f>
        <v>3.2215386998332374E-2</v>
      </c>
      <c r="F25" s="64"/>
      <c r="G25" s="64"/>
      <c r="H25" s="64">
        <f>IRR(H13:H23,0.1)</f>
        <v>2.2019666495027845E-2</v>
      </c>
      <c r="J25" s="64">
        <f>IRR(J13:J23,0.1)</f>
        <v>5.4999999999999938E-2</v>
      </c>
      <c r="K25" s="64"/>
      <c r="L25" s="64">
        <f>IRR(L13:L23,0.01)</f>
        <v>-0.11735259785657182</v>
      </c>
      <c r="M25" s="64">
        <f>IRR(M13:M23,0.1)</f>
        <v>-0.12085213237109749</v>
      </c>
      <c r="N25" s="64">
        <f>J7*(1-C9)</f>
        <v>4.1250000000000002E-2</v>
      </c>
      <c r="O25" s="64"/>
      <c r="P25" s="64"/>
      <c r="Q25" s="64"/>
      <c r="R25" s="64"/>
      <c r="S25" s="64"/>
      <c r="V25" s="82"/>
      <c r="AL25" s="68"/>
      <c r="AM25" s="47"/>
      <c r="AN25" s="47"/>
      <c r="AO25" s="47"/>
    </row>
    <row r="26" spans="1:41">
      <c r="B26" s="43"/>
      <c r="C26" s="43"/>
      <c r="D26" s="43"/>
      <c r="E26" s="43"/>
      <c r="F26" s="43"/>
      <c r="G26" s="43"/>
      <c r="H26" s="43"/>
      <c r="J26" s="43"/>
      <c r="K26" s="43"/>
      <c r="L26" s="43"/>
      <c r="O26" s="47"/>
      <c r="P26" s="47"/>
      <c r="Q26" s="47"/>
      <c r="R26" s="47"/>
      <c r="S26" s="47"/>
      <c r="V26" s="82"/>
      <c r="W26" s="75"/>
      <c r="AN26" s="47"/>
      <c r="AO26" s="47"/>
    </row>
    <row r="27" spans="1:41">
      <c r="B27" s="43"/>
      <c r="C27" s="43"/>
      <c r="D27" s="43"/>
      <c r="E27" s="43"/>
      <c r="F27" s="43"/>
      <c r="G27" s="43"/>
      <c r="H27" s="43"/>
      <c r="J27" s="43"/>
      <c r="K27" s="43"/>
      <c r="L27" s="43"/>
      <c r="O27" s="47"/>
      <c r="P27" s="47"/>
      <c r="Q27" s="47"/>
      <c r="R27" s="47"/>
      <c r="S27" s="47"/>
      <c r="T27" s="68"/>
      <c r="V27" s="68"/>
      <c r="W27" s="47"/>
      <c r="AN27" s="47"/>
      <c r="AO27" s="47"/>
    </row>
    <row r="28" spans="1:41">
      <c r="A28" s="43" t="s">
        <v>14</v>
      </c>
      <c r="T28" s="68"/>
      <c r="V28" s="68"/>
      <c r="W28" s="47"/>
      <c r="AN28" s="47"/>
      <c r="AO28" s="47"/>
    </row>
    <row r="29" spans="1:41">
      <c r="B29" s="65" t="s">
        <v>99</v>
      </c>
      <c r="K29" s="65" t="s">
        <v>15</v>
      </c>
      <c r="L29" s="65" t="s">
        <v>16</v>
      </c>
      <c r="M29" s="75" t="s">
        <v>17</v>
      </c>
      <c r="N29" s="75" t="s">
        <v>107</v>
      </c>
      <c r="T29" s="68"/>
      <c r="V29" s="68"/>
      <c r="W29" s="47"/>
      <c r="AN29" s="47"/>
      <c r="AO29" s="47"/>
    </row>
    <row r="30" spans="1:41">
      <c r="A30" s="43" t="s">
        <v>18</v>
      </c>
      <c r="B30" s="44">
        <v>1</v>
      </c>
      <c r="C30" s="44">
        <v>2</v>
      </c>
      <c r="D30" s="44">
        <v>3</v>
      </c>
      <c r="E30" s="44">
        <v>4</v>
      </c>
      <c r="F30" s="44">
        <v>5</v>
      </c>
      <c r="G30" s="44">
        <v>6</v>
      </c>
      <c r="H30" s="44">
        <v>7</v>
      </c>
      <c r="I30" s="44">
        <v>8</v>
      </c>
      <c r="J30" s="44">
        <v>9</v>
      </c>
      <c r="K30" s="65" t="s">
        <v>19</v>
      </c>
      <c r="L30" s="65" t="s">
        <v>20</v>
      </c>
      <c r="M30" s="75" t="s">
        <v>19</v>
      </c>
      <c r="N30" s="75" t="s">
        <v>19</v>
      </c>
      <c r="T30" s="68"/>
      <c r="V30" s="68"/>
      <c r="W30" s="47"/>
      <c r="AN30" s="47"/>
      <c r="AO30" s="47"/>
    </row>
    <row r="31" spans="1:41">
      <c r="A31" s="43" t="s">
        <v>21</v>
      </c>
      <c r="T31" s="68"/>
      <c r="V31" s="68"/>
      <c r="W31" s="47"/>
      <c r="AN31" s="47"/>
      <c r="AO31" s="47"/>
    </row>
    <row r="32" spans="1:41">
      <c r="A32" s="75" t="s">
        <v>118</v>
      </c>
      <c r="B32" s="44">
        <f>C14</f>
        <v>57000</v>
      </c>
      <c r="C32" s="44">
        <f>C15</f>
        <v>57000</v>
      </c>
      <c r="D32" s="44">
        <f>C16</f>
        <v>57000</v>
      </c>
      <c r="E32" s="44">
        <f>C17</f>
        <v>57000</v>
      </c>
      <c r="F32" s="44">
        <f>C18</f>
        <v>57000</v>
      </c>
      <c r="G32" s="44">
        <f>C19</f>
        <v>57000</v>
      </c>
      <c r="H32" s="44">
        <f>C20</f>
        <v>57000</v>
      </c>
      <c r="I32" s="44">
        <f>C21</f>
        <v>57000</v>
      </c>
      <c r="J32" s="44">
        <f>C22</f>
        <v>57000</v>
      </c>
      <c r="K32" s="44">
        <f>C23</f>
        <v>57000</v>
      </c>
      <c r="L32" s="65" t="s">
        <v>22</v>
      </c>
      <c r="M32" s="44">
        <f>B23</f>
        <v>760000</v>
      </c>
      <c r="N32" s="44"/>
      <c r="T32" s="68"/>
      <c r="V32" s="68"/>
      <c r="W32" s="47"/>
      <c r="AN32" s="47"/>
      <c r="AO32" s="47"/>
    </row>
    <row r="33" spans="1:44">
      <c r="A33" s="75" t="s">
        <v>23</v>
      </c>
      <c r="B33" s="44">
        <f t="shared" ref="B33:K33" si="12">$B$13*$G$6/$G$7</f>
        <v>27636.363636363636</v>
      </c>
      <c r="C33" s="44">
        <f t="shared" si="12"/>
        <v>27636.363636363636</v>
      </c>
      <c r="D33" s="44">
        <f t="shared" si="12"/>
        <v>27636.363636363636</v>
      </c>
      <c r="E33" s="44">
        <f t="shared" si="12"/>
        <v>27636.363636363636</v>
      </c>
      <c r="F33" s="44">
        <f t="shared" si="12"/>
        <v>27636.363636363636</v>
      </c>
      <c r="G33" s="44">
        <f t="shared" si="12"/>
        <v>27636.363636363636</v>
      </c>
      <c r="H33" s="44">
        <f t="shared" si="12"/>
        <v>27636.363636363636</v>
      </c>
      <c r="I33" s="44">
        <f t="shared" si="12"/>
        <v>27636.363636363636</v>
      </c>
      <c r="J33" s="44">
        <f t="shared" si="12"/>
        <v>27636.363636363636</v>
      </c>
      <c r="K33" s="44">
        <f t="shared" si="12"/>
        <v>27636.363636363636</v>
      </c>
      <c r="L33" s="65" t="s">
        <v>24</v>
      </c>
      <c r="M33" s="44">
        <f>B13-SUM(B33:K33)+SUM(B39:K39)</f>
        <v>773636.36363636353</v>
      </c>
      <c r="N33" s="44"/>
      <c r="T33" s="68"/>
      <c r="V33" s="68"/>
      <c r="W33" s="47"/>
      <c r="AN33" s="47"/>
      <c r="AO33" s="47"/>
    </row>
    <row r="34" spans="1:44">
      <c r="A34" s="75" t="s">
        <v>25</v>
      </c>
      <c r="B34" s="44">
        <f t="shared" ref="B34:K34" si="13">B32-B33</f>
        <v>29363.636363636364</v>
      </c>
      <c r="C34" s="44">
        <f t="shared" si="13"/>
        <v>29363.636363636364</v>
      </c>
      <c r="D34" s="44">
        <f t="shared" si="13"/>
        <v>29363.636363636364</v>
      </c>
      <c r="E34" s="44">
        <f t="shared" si="13"/>
        <v>29363.636363636364</v>
      </c>
      <c r="F34" s="44">
        <f t="shared" si="13"/>
        <v>29363.636363636364</v>
      </c>
      <c r="G34" s="44">
        <f t="shared" si="13"/>
        <v>29363.636363636364</v>
      </c>
      <c r="H34" s="44">
        <f t="shared" si="13"/>
        <v>29363.636363636364</v>
      </c>
      <c r="I34" s="44">
        <f t="shared" si="13"/>
        <v>29363.636363636364</v>
      </c>
      <c r="J34" s="44">
        <f t="shared" si="13"/>
        <v>29363.636363636364</v>
      </c>
      <c r="K34" s="44">
        <f t="shared" si="13"/>
        <v>29363.636363636364</v>
      </c>
      <c r="L34" s="65" t="s">
        <v>26</v>
      </c>
      <c r="M34" s="44">
        <f>M32-M33</f>
        <v>-13636.363636363531</v>
      </c>
      <c r="N34" s="44">
        <f>K34+M34</f>
        <v>15727.272727272833</v>
      </c>
      <c r="T34" s="68"/>
      <c r="V34" s="68"/>
      <c r="W34" s="47"/>
      <c r="AN34" s="47"/>
      <c r="AO34" s="47"/>
    </row>
    <row r="35" spans="1:44">
      <c r="A35" s="75" t="s">
        <v>27</v>
      </c>
      <c r="B35" s="44">
        <f t="shared" ref="B35:K35" si="14">$C$8*B34</f>
        <v>10277.272727272726</v>
      </c>
      <c r="C35" s="44">
        <f t="shared" si="14"/>
        <v>10277.272727272726</v>
      </c>
      <c r="D35" s="44">
        <f t="shared" si="14"/>
        <v>10277.272727272726</v>
      </c>
      <c r="E35" s="44">
        <f t="shared" si="14"/>
        <v>10277.272727272726</v>
      </c>
      <c r="F35" s="44">
        <f t="shared" si="14"/>
        <v>10277.272727272726</v>
      </c>
      <c r="G35" s="44">
        <f t="shared" si="14"/>
        <v>10277.272727272726</v>
      </c>
      <c r="H35" s="44">
        <f t="shared" si="14"/>
        <v>10277.272727272726</v>
      </c>
      <c r="I35" s="44">
        <f t="shared" si="14"/>
        <v>10277.272727272726</v>
      </c>
      <c r="J35" s="44">
        <f t="shared" si="14"/>
        <v>10277.272727272726</v>
      </c>
      <c r="K35" s="44">
        <f t="shared" si="14"/>
        <v>10277.272727272726</v>
      </c>
      <c r="L35" s="65" t="s">
        <v>28</v>
      </c>
      <c r="M35" s="44">
        <f>G8*(M32-(B13+SUM(B39:K39)))+G9*SUM(B33:K33)</f>
        <v>25590.909090909103</v>
      </c>
      <c r="N35" s="44"/>
      <c r="T35" s="68"/>
      <c r="V35" s="68"/>
      <c r="W35" s="47"/>
      <c r="AN35" s="47"/>
      <c r="AO35" s="47"/>
    </row>
    <row r="36" spans="1:44">
      <c r="A36" s="75" t="s">
        <v>29</v>
      </c>
      <c r="B36" s="44">
        <f t="shared" ref="B36:K36" si="15">B34-B35</f>
        <v>19086.36363636364</v>
      </c>
      <c r="C36" s="44">
        <f t="shared" si="15"/>
        <v>19086.36363636364</v>
      </c>
      <c r="D36" s="44">
        <f t="shared" si="15"/>
        <v>19086.36363636364</v>
      </c>
      <c r="E36" s="44">
        <f t="shared" si="15"/>
        <v>19086.36363636364</v>
      </c>
      <c r="F36" s="44">
        <f t="shared" si="15"/>
        <v>19086.36363636364</v>
      </c>
      <c r="G36" s="44">
        <f t="shared" si="15"/>
        <v>19086.36363636364</v>
      </c>
      <c r="H36" s="44">
        <f t="shared" si="15"/>
        <v>19086.36363636364</v>
      </c>
      <c r="I36" s="44">
        <f t="shared" si="15"/>
        <v>19086.36363636364</v>
      </c>
      <c r="J36" s="44">
        <f t="shared" si="15"/>
        <v>19086.36363636364</v>
      </c>
      <c r="K36" s="44">
        <f t="shared" si="15"/>
        <v>19086.36363636364</v>
      </c>
      <c r="L36" s="65" t="s">
        <v>30</v>
      </c>
      <c r="M36" s="44">
        <f>M34-M35</f>
        <v>-39227.272727272633</v>
      </c>
      <c r="N36" s="44">
        <f>K36+M36</f>
        <v>-20140.909090908994</v>
      </c>
      <c r="T36" s="68"/>
      <c r="V36" s="68"/>
      <c r="W36" s="47"/>
      <c r="AN36" s="47"/>
      <c r="AO36" s="47"/>
      <c r="AP36" s="47"/>
      <c r="AQ36" s="68"/>
    </row>
    <row r="37" spans="1:44">
      <c r="M37" s="44"/>
      <c r="N37" s="44"/>
      <c r="T37" s="68"/>
      <c r="V37" s="68"/>
      <c r="W37" s="47"/>
      <c r="AN37" s="47"/>
      <c r="AO37" s="47"/>
      <c r="AP37" s="47"/>
      <c r="AQ37" s="68"/>
    </row>
    <row r="38" spans="1:44">
      <c r="A38" s="43" t="s">
        <v>31</v>
      </c>
      <c r="M38" s="44"/>
      <c r="N38" s="44"/>
      <c r="T38" s="68"/>
      <c r="V38" s="68"/>
      <c r="W38" s="47"/>
      <c r="AN38" s="47"/>
      <c r="AO38" s="47"/>
      <c r="AR38" s="72"/>
    </row>
    <row r="39" spans="1:44">
      <c r="A39" s="75" t="s">
        <v>32</v>
      </c>
      <c r="B39" s="44">
        <f>D14</f>
        <v>0</v>
      </c>
      <c r="C39" s="44">
        <f>D15</f>
        <v>0</v>
      </c>
      <c r="D39" s="44">
        <f>D16</f>
        <v>50000</v>
      </c>
      <c r="E39" s="44">
        <f>D17</f>
        <v>0</v>
      </c>
      <c r="F39" s="44">
        <f>D18</f>
        <v>0</v>
      </c>
      <c r="G39" s="44">
        <f>D19</f>
        <v>0</v>
      </c>
      <c r="H39" s="44">
        <f>D20</f>
        <v>0</v>
      </c>
      <c r="I39" s="44">
        <f>D21</f>
        <v>50000</v>
      </c>
      <c r="J39" s="44">
        <f>D22</f>
        <v>0</v>
      </c>
      <c r="K39" s="44">
        <f>D23</f>
        <v>0</v>
      </c>
      <c r="M39" s="44"/>
      <c r="N39" s="44"/>
      <c r="T39" s="68"/>
      <c r="V39" s="68"/>
      <c r="W39" s="47"/>
      <c r="AN39" s="47"/>
      <c r="AO39" s="47"/>
    </row>
    <row r="40" spans="1:44">
      <c r="A40" s="75" t="s">
        <v>33</v>
      </c>
      <c r="B40" s="44">
        <f t="shared" ref="B40:K40" si="16">B33</f>
        <v>27636.363636363636</v>
      </c>
      <c r="C40" s="44">
        <f t="shared" si="16"/>
        <v>27636.363636363636</v>
      </c>
      <c r="D40" s="44">
        <f t="shared" si="16"/>
        <v>27636.363636363636</v>
      </c>
      <c r="E40" s="44">
        <f t="shared" si="16"/>
        <v>27636.363636363636</v>
      </c>
      <c r="F40" s="44">
        <f t="shared" si="16"/>
        <v>27636.363636363636</v>
      </c>
      <c r="G40" s="44">
        <f t="shared" si="16"/>
        <v>27636.363636363636</v>
      </c>
      <c r="H40" s="44">
        <f t="shared" si="16"/>
        <v>27636.363636363636</v>
      </c>
      <c r="I40" s="44">
        <f t="shared" si="16"/>
        <v>27636.363636363636</v>
      </c>
      <c r="J40" s="44">
        <f t="shared" si="16"/>
        <v>27636.363636363636</v>
      </c>
      <c r="K40" s="44">
        <f t="shared" si="16"/>
        <v>27636.363636363636</v>
      </c>
      <c r="L40" s="65" t="s">
        <v>34</v>
      </c>
      <c r="M40" s="44">
        <f>M33</f>
        <v>773636.36363636353</v>
      </c>
      <c r="N40" s="44"/>
      <c r="T40" s="68"/>
      <c r="V40" s="68"/>
      <c r="W40" s="47"/>
      <c r="AN40" s="47"/>
      <c r="AO40" s="47"/>
    </row>
    <row r="41" spans="1:44">
      <c r="A41" s="75" t="s">
        <v>35</v>
      </c>
      <c r="B41" s="44">
        <f t="shared" ref="B41:K41" si="17">B36-B39+B40</f>
        <v>46722.727272727279</v>
      </c>
      <c r="C41" s="44">
        <f t="shared" si="17"/>
        <v>46722.727272727279</v>
      </c>
      <c r="D41" s="44">
        <f t="shared" si="17"/>
        <v>-3277.2727272727243</v>
      </c>
      <c r="E41" s="44">
        <f t="shared" si="17"/>
        <v>46722.727272727279</v>
      </c>
      <c r="F41" s="44">
        <f t="shared" si="17"/>
        <v>46722.727272727279</v>
      </c>
      <c r="G41" s="44">
        <f t="shared" si="17"/>
        <v>46722.727272727279</v>
      </c>
      <c r="H41" s="44">
        <f t="shared" si="17"/>
        <v>46722.727272727279</v>
      </c>
      <c r="I41" s="44">
        <f t="shared" si="17"/>
        <v>-3277.2727272727243</v>
      </c>
      <c r="J41" s="44">
        <f t="shared" si="17"/>
        <v>46722.727272727279</v>
      </c>
      <c r="K41" s="44">
        <f t="shared" si="17"/>
        <v>46722.727272727279</v>
      </c>
      <c r="L41" s="65" t="s">
        <v>36</v>
      </c>
      <c r="M41" s="44">
        <f>M36+M40</f>
        <v>734409.09090909094</v>
      </c>
      <c r="N41" s="44">
        <f>K41+M41</f>
        <v>781131.81818181823</v>
      </c>
      <c r="T41" s="68"/>
      <c r="V41" s="68"/>
      <c r="W41" s="47"/>
      <c r="AN41" s="47"/>
      <c r="AO41" s="47"/>
    </row>
    <row r="42" spans="1:44">
      <c r="M42" s="44"/>
      <c r="N42" s="44"/>
      <c r="T42" s="68"/>
      <c r="V42" s="68"/>
      <c r="W42" s="47"/>
      <c r="AN42" s="47"/>
      <c r="AO42" s="47"/>
    </row>
    <row r="43" spans="1:44">
      <c r="A43" s="75" t="s">
        <v>37</v>
      </c>
      <c r="B43" s="44">
        <f t="shared" ref="B43:K43" si="18">B35</f>
        <v>10277.272727272726</v>
      </c>
      <c r="C43" s="44">
        <f t="shared" si="18"/>
        <v>10277.272727272726</v>
      </c>
      <c r="D43" s="44">
        <f t="shared" si="18"/>
        <v>10277.272727272726</v>
      </c>
      <c r="E43" s="44">
        <f t="shared" si="18"/>
        <v>10277.272727272726</v>
      </c>
      <c r="F43" s="44">
        <f t="shared" si="18"/>
        <v>10277.272727272726</v>
      </c>
      <c r="G43" s="44">
        <f t="shared" si="18"/>
        <v>10277.272727272726</v>
      </c>
      <c r="H43" s="44">
        <f t="shared" si="18"/>
        <v>10277.272727272726</v>
      </c>
      <c r="I43" s="44">
        <f t="shared" si="18"/>
        <v>10277.272727272726</v>
      </c>
      <c r="J43" s="44">
        <f t="shared" si="18"/>
        <v>10277.272727272726</v>
      </c>
      <c r="K43" s="44">
        <f t="shared" si="18"/>
        <v>10277.272727272726</v>
      </c>
      <c r="L43" s="65" t="s">
        <v>38</v>
      </c>
      <c r="M43" s="44">
        <f>M35</f>
        <v>25590.909090909103</v>
      </c>
      <c r="N43" s="44"/>
      <c r="T43" s="68"/>
      <c r="V43" s="68"/>
      <c r="W43" s="47"/>
      <c r="AN43" s="47"/>
      <c r="AO43" s="47"/>
    </row>
    <row r="44" spans="1:44">
      <c r="A44" s="75" t="s">
        <v>39</v>
      </c>
      <c r="B44" s="44">
        <f t="shared" ref="B44:K44" si="19">B41+B43</f>
        <v>57000.000000000007</v>
      </c>
      <c r="C44" s="44">
        <f t="shared" si="19"/>
        <v>57000.000000000007</v>
      </c>
      <c r="D44" s="44">
        <f t="shared" si="19"/>
        <v>7000.0000000000018</v>
      </c>
      <c r="E44" s="44">
        <f t="shared" si="19"/>
        <v>57000.000000000007</v>
      </c>
      <c r="F44" s="44">
        <f t="shared" si="19"/>
        <v>57000.000000000007</v>
      </c>
      <c r="G44" s="44">
        <f t="shared" si="19"/>
        <v>57000.000000000007</v>
      </c>
      <c r="H44" s="44">
        <f t="shared" si="19"/>
        <v>57000.000000000007</v>
      </c>
      <c r="I44" s="44">
        <f t="shared" si="19"/>
        <v>7000.0000000000018</v>
      </c>
      <c r="J44" s="44">
        <f t="shared" si="19"/>
        <v>57000.000000000007</v>
      </c>
      <c r="K44" s="44">
        <f t="shared" si="19"/>
        <v>57000.000000000007</v>
      </c>
      <c r="L44" s="65" t="s">
        <v>39</v>
      </c>
      <c r="M44" s="44">
        <f>M41+M43</f>
        <v>760000</v>
      </c>
      <c r="N44" s="44">
        <f>K44+M44</f>
        <v>817000</v>
      </c>
      <c r="T44" s="68"/>
      <c r="V44" s="68"/>
      <c r="W44" s="47"/>
      <c r="AN44" s="47"/>
      <c r="AO44" s="47"/>
    </row>
    <row r="45" spans="1:44">
      <c r="M45" s="44"/>
      <c r="N45" s="44"/>
      <c r="T45" s="68"/>
      <c r="V45" s="68"/>
      <c r="W45" s="47"/>
      <c r="AN45" s="47"/>
      <c r="AO45" s="47"/>
    </row>
    <row r="46" spans="1:44">
      <c r="M46" s="44"/>
      <c r="N46" s="44"/>
      <c r="T46" s="68"/>
      <c r="V46" s="68"/>
      <c r="W46" s="47"/>
      <c r="AN46" s="47"/>
      <c r="AO46" s="47"/>
    </row>
    <row r="47" spans="1:44" ht="22.8">
      <c r="A47" s="83" t="s">
        <v>40</v>
      </c>
      <c r="M47" s="44"/>
      <c r="N47" s="44"/>
      <c r="T47" s="68"/>
      <c r="V47" s="68"/>
      <c r="AN47" s="47"/>
      <c r="AO47" s="47"/>
    </row>
    <row r="48" spans="1:44">
      <c r="M48" s="44"/>
      <c r="N48" s="44"/>
      <c r="T48" s="68"/>
      <c r="V48" s="68"/>
      <c r="AN48" s="47"/>
      <c r="AO48" s="47"/>
    </row>
    <row r="49" spans="1:43">
      <c r="A49" s="43" t="s">
        <v>41</v>
      </c>
      <c r="C49" s="84">
        <f>B13</f>
        <v>950000</v>
      </c>
      <c r="E49" s="43"/>
      <c r="F49" s="65" t="s">
        <v>42</v>
      </c>
      <c r="G49" s="65" t="s">
        <v>43</v>
      </c>
      <c r="H49" s="43"/>
      <c r="M49" s="44"/>
      <c r="N49" s="44"/>
      <c r="V49" s="68"/>
      <c r="AN49" s="47"/>
      <c r="AO49" s="47"/>
    </row>
    <row r="50" spans="1:43">
      <c r="A50" s="43" t="s">
        <v>44</v>
      </c>
      <c r="C50" s="44">
        <f>B13*G6</f>
        <v>760000</v>
      </c>
      <c r="E50" s="65" t="s">
        <v>45</v>
      </c>
      <c r="F50" s="64">
        <f>E25</f>
        <v>3.2215386998332374E-2</v>
      </c>
      <c r="G50" s="64">
        <f>L25</f>
        <v>-0.11735259785657182</v>
      </c>
      <c r="H50" s="43"/>
      <c r="M50" s="44"/>
      <c r="N50" s="44"/>
      <c r="AN50" s="47"/>
      <c r="AO50" s="47"/>
    </row>
    <row r="51" spans="1:43">
      <c r="A51" s="43" t="s">
        <v>46</v>
      </c>
      <c r="C51" s="64">
        <f>C8</f>
        <v>0.35</v>
      </c>
      <c r="E51" s="65" t="s">
        <v>47</v>
      </c>
      <c r="F51" s="64">
        <f>H25</f>
        <v>2.2019666495027845E-2</v>
      </c>
      <c r="G51" s="64">
        <f>M25</f>
        <v>-0.12085213237109749</v>
      </c>
      <c r="H51" s="43"/>
      <c r="M51" s="44"/>
      <c r="N51" s="44"/>
      <c r="AN51" s="47"/>
      <c r="AO51" s="47"/>
    </row>
    <row r="52" spans="1:43">
      <c r="A52" s="43" t="s">
        <v>48</v>
      </c>
      <c r="C52" s="64">
        <f>G8</f>
        <v>0.15</v>
      </c>
      <c r="E52" s="65" t="s">
        <v>49</v>
      </c>
      <c r="F52" s="85">
        <f>F51/F50</f>
        <v>0.6835139523907533</v>
      </c>
      <c r="G52" s="85">
        <f>G51/G50</f>
        <v>1.0298206821020084</v>
      </c>
      <c r="M52" s="44"/>
      <c r="N52" s="44"/>
      <c r="AN52" s="47"/>
      <c r="AO52" s="47"/>
    </row>
    <row r="53" spans="1:43">
      <c r="A53" s="43" t="s">
        <v>50</v>
      </c>
      <c r="B53" s="44" t="s">
        <v>51</v>
      </c>
      <c r="C53" s="64">
        <f>G9</f>
        <v>0.25</v>
      </c>
      <c r="D53" s="44" t="s">
        <v>51</v>
      </c>
      <c r="E53" s="44" t="s">
        <v>51</v>
      </c>
      <c r="F53" s="44" t="s">
        <v>51</v>
      </c>
      <c r="G53" s="44" t="s">
        <v>51</v>
      </c>
      <c r="H53" s="44" t="s">
        <v>51</v>
      </c>
      <c r="I53" s="44" t="s">
        <v>51</v>
      </c>
      <c r="J53" s="44" t="s">
        <v>51</v>
      </c>
      <c r="K53" s="44" t="s">
        <v>51</v>
      </c>
      <c r="L53" s="44" t="s">
        <v>51</v>
      </c>
      <c r="M53" s="43" t="s">
        <v>51</v>
      </c>
      <c r="N53" s="43" t="s">
        <v>51</v>
      </c>
      <c r="AL53" s="44"/>
      <c r="AN53" s="47"/>
      <c r="AO53" s="47"/>
    </row>
    <row r="54" spans="1:43">
      <c r="A54" s="44"/>
      <c r="H54" s="43"/>
      <c r="AL54" s="44"/>
      <c r="AN54" s="68"/>
      <c r="AO54" s="68"/>
    </row>
    <row r="55" spans="1:43">
      <c r="B55" s="71" t="s">
        <v>99</v>
      </c>
      <c r="K55" s="65" t="s">
        <v>15</v>
      </c>
      <c r="L55" s="65" t="s">
        <v>16</v>
      </c>
      <c r="M55" s="65" t="s">
        <v>17</v>
      </c>
      <c r="N55" s="65" t="s">
        <v>107</v>
      </c>
      <c r="AL55" s="44"/>
      <c r="AN55" s="47"/>
      <c r="AO55" s="47"/>
    </row>
    <row r="56" spans="1:43">
      <c r="A56" s="43" t="s">
        <v>18</v>
      </c>
      <c r="B56" s="86">
        <v>1</v>
      </c>
      <c r="C56" s="86">
        <v>2</v>
      </c>
      <c r="D56" s="86">
        <v>3</v>
      </c>
      <c r="E56" s="86">
        <v>4</v>
      </c>
      <c r="F56" s="86">
        <v>5</v>
      </c>
      <c r="G56" s="86">
        <v>6</v>
      </c>
      <c r="H56" s="86">
        <v>7</v>
      </c>
      <c r="I56" s="86">
        <v>8</v>
      </c>
      <c r="J56" s="86">
        <v>9</v>
      </c>
      <c r="K56" s="65" t="s">
        <v>19</v>
      </c>
      <c r="L56" s="65" t="s">
        <v>52</v>
      </c>
      <c r="M56" s="65" t="s">
        <v>19</v>
      </c>
      <c r="N56" s="65" t="s">
        <v>19</v>
      </c>
      <c r="AL56" s="44"/>
      <c r="AN56" s="68"/>
      <c r="AO56" s="68"/>
    </row>
    <row r="57" spans="1:43">
      <c r="A57" s="43" t="s">
        <v>21</v>
      </c>
      <c r="M57" s="44"/>
      <c r="N57" s="44"/>
      <c r="AL57" s="44"/>
      <c r="AN57" s="47"/>
      <c r="AO57" s="47"/>
    </row>
    <row r="58" spans="1:43">
      <c r="A58" s="75" t="s">
        <v>118</v>
      </c>
      <c r="B58" s="44">
        <f t="shared" ref="B58:K58" si="20">B32</f>
        <v>57000</v>
      </c>
      <c r="C58" s="44">
        <f t="shared" si="20"/>
        <v>57000</v>
      </c>
      <c r="D58" s="44">
        <f t="shared" si="20"/>
        <v>57000</v>
      </c>
      <c r="E58" s="44">
        <f t="shared" si="20"/>
        <v>57000</v>
      </c>
      <c r="F58" s="44">
        <f t="shared" si="20"/>
        <v>57000</v>
      </c>
      <c r="G58" s="44">
        <f t="shared" si="20"/>
        <v>57000</v>
      </c>
      <c r="H58" s="44">
        <f t="shared" si="20"/>
        <v>57000</v>
      </c>
      <c r="I58" s="44">
        <f t="shared" si="20"/>
        <v>57000</v>
      </c>
      <c r="J58" s="44">
        <f t="shared" si="20"/>
        <v>57000</v>
      </c>
      <c r="K58" s="44">
        <f t="shared" si="20"/>
        <v>57000</v>
      </c>
      <c r="L58" s="65" t="s">
        <v>22</v>
      </c>
      <c r="M58" s="44">
        <f>M32</f>
        <v>760000</v>
      </c>
      <c r="N58" s="44"/>
      <c r="AL58" s="44"/>
      <c r="AN58" s="47"/>
      <c r="AO58" s="47"/>
    </row>
    <row r="59" spans="1:43">
      <c r="A59" s="75" t="s">
        <v>53</v>
      </c>
      <c r="B59" s="44">
        <f t="shared" ref="B59:K59" si="21">B33</f>
        <v>27636.363636363636</v>
      </c>
      <c r="C59" s="44">
        <f t="shared" si="21"/>
        <v>27636.363636363636</v>
      </c>
      <c r="D59" s="44">
        <f t="shared" si="21"/>
        <v>27636.363636363636</v>
      </c>
      <c r="E59" s="44">
        <f t="shared" si="21"/>
        <v>27636.363636363636</v>
      </c>
      <c r="F59" s="44">
        <f t="shared" si="21"/>
        <v>27636.363636363636</v>
      </c>
      <c r="G59" s="44">
        <f t="shared" si="21"/>
        <v>27636.363636363636</v>
      </c>
      <c r="H59" s="44">
        <f t="shared" si="21"/>
        <v>27636.363636363636</v>
      </c>
      <c r="I59" s="44">
        <f t="shared" si="21"/>
        <v>27636.363636363636</v>
      </c>
      <c r="J59" s="44">
        <f t="shared" si="21"/>
        <v>27636.363636363636</v>
      </c>
      <c r="K59" s="44">
        <f t="shared" si="21"/>
        <v>27636.363636363636</v>
      </c>
      <c r="L59" s="65" t="s">
        <v>24</v>
      </c>
      <c r="M59" s="44">
        <f>M33</f>
        <v>773636.36363636353</v>
      </c>
      <c r="N59" s="44"/>
      <c r="AL59" s="44"/>
      <c r="AN59" s="68"/>
      <c r="AO59" s="47"/>
      <c r="AP59" s="68"/>
    </row>
    <row r="60" spans="1:43">
      <c r="A60" s="75" t="s">
        <v>54</v>
      </c>
      <c r="B60" s="44">
        <f>$J$7*I13</f>
        <v>41250</v>
      </c>
      <c r="C60" s="44">
        <f>$J$7*I14</f>
        <v>41140</v>
      </c>
      <c r="D60" s="44">
        <f>$J$7*$I15</f>
        <v>41030</v>
      </c>
      <c r="E60" s="44">
        <f>$J$7*$I16</f>
        <v>40920</v>
      </c>
      <c r="F60" s="44">
        <f>$J$7*$I17</f>
        <v>40810</v>
      </c>
      <c r="G60" s="44">
        <f>$J$7*$I18</f>
        <v>40700</v>
      </c>
      <c r="H60" s="44">
        <f>$J$7*$I19</f>
        <v>40590</v>
      </c>
      <c r="I60" s="44">
        <f>$J$7*$I20</f>
        <v>40480</v>
      </c>
      <c r="J60" s="44">
        <f>$J$7*$I21</f>
        <v>40370</v>
      </c>
      <c r="K60" s="44">
        <f>$J$7*$I22</f>
        <v>40260</v>
      </c>
      <c r="M60" s="44"/>
      <c r="N60" s="44"/>
      <c r="AL60" s="44"/>
      <c r="AN60" s="68"/>
      <c r="AO60" s="47"/>
      <c r="AP60" s="68"/>
    </row>
    <row r="61" spans="1:43">
      <c r="A61" s="75" t="s">
        <v>55</v>
      </c>
      <c r="B61" s="44">
        <f t="shared" ref="B61:K61" si="22">B58-B59-B60</f>
        <v>-11886.363636363636</v>
      </c>
      <c r="C61" s="44">
        <f t="shared" si="22"/>
        <v>-11776.363636363636</v>
      </c>
      <c r="D61" s="44">
        <f t="shared" si="22"/>
        <v>-11666.363636363636</v>
      </c>
      <c r="E61" s="44">
        <f t="shared" si="22"/>
        <v>-11556.363636363636</v>
      </c>
      <c r="F61" s="44">
        <f t="shared" si="22"/>
        <v>-11446.363636363636</v>
      </c>
      <c r="G61" s="44">
        <f t="shared" si="22"/>
        <v>-11336.363636363636</v>
      </c>
      <c r="H61" s="44">
        <f t="shared" si="22"/>
        <v>-11226.363636363636</v>
      </c>
      <c r="I61" s="44">
        <f t="shared" si="22"/>
        <v>-11116.363636363636</v>
      </c>
      <c r="J61" s="44">
        <f t="shared" si="22"/>
        <v>-11006.363636363636</v>
      </c>
      <c r="K61" s="44">
        <f t="shared" si="22"/>
        <v>-10896.363636363636</v>
      </c>
      <c r="L61" s="65" t="s">
        <v>26</v>
      </c>
      <c r="M61" s="44">
        <f>M58-M59</f>
        <v>-13636.363636363531</v>
      </c>
      <c r="N61" s="44">
        <f>K61+M61</f>
        <v>-24532.727272727167</v>
      </c>
      <c r="AL61" s="44"/>
      <c r="AN61" s="68"/>
      <c r="AO61" s="47"/>
      <c r="AP61" s="68"/>
    </row>
    <row r="62" spans="1:43">
      <c r="A62" s="75" t="s">
        <v>27</v>
      </c>
      <c r="B62" s="44">
        <f t="shared" ref="B62:K62" si="23">$C$8*B61</f>
        <v>-4160.2272727272721</v>
      </c>
      <c r="C62" s="44">
        <f t="shared" si="23"/>
        <v>-4121.7272727272721</v>
      </c>
      <c r="D62" s="44">
        <f t="shared" si="23"/>
        <v>-4083.2272727272725</v>
      </c>
      <c r="E62" s="44">
        <f t="shared" si="23"/>
        <v>-4044.7272727272725</v>
      </c>
      <c r="F62" s="44">
        <f t="shared" si="23"/>
        <v>-4006.2272727272725</v>
      </c>
      <c r="G62" s="44">
        <f t="shared" si="23"/>
        <v>-3967.7272727272725</v>
      </c>
      <c r="H62" s="44">
        <f t="shared" si="23"/>
        <v>-3929.2272727272725</v>
      </c>
      <c r="I62" s="44">
        <f t="shared" si="23"/>
        <v>-3890.7272727272725</v>
      </c>
      <c r="J62" s="44">
        <f t="shared" si="23"/>
        <v>-3852.2272727272725</v>
      </c>
      <c r="K62" s="44">
        <f t="shared" si="23"/>
        <v>-3813.7272727272725</v>
      </c>
      <c r="L62" s="65" t="s">
        <v>28</v>
      </c>
      <c r="M62" s="44">
        <f>M35</f>
        <v>25590.909090909103</v>
      </c>
      <c r="N62" s="44"/>
      <c r="AL62" s="44"/>
      <c r="AN62" s="47"/>
      <c r="AO62" s="47"/>
    </row>
    <row r="63" spans="1:43">
      <c r="A63" s="75" t="s">
        <v>56</v>
      </c>
      <c r="B63" s="44">
        <f t="shared" ref="B63:K63" si="24">B61-B62</f>
        <v>-7726.136363636364</v>
      </c>
      <c r="C63" s="44">
        <f t="shared" si="24"/>
        <v>-7654.636363636364</v>
      </c>
      <c r="D63" s="44">
        <f t="shared" si="24"/>
        <v>-7583.136363636364</v>
      </c>
      <c r="E63" s="44">
        <f t="shared" si="24"/>
        <v>-7511.636363636364</v>
      </c>
      <c r="F63" s="44">
        <f t="shared" si="24"/>
        <v>-7440.136363636364</v>
      </c>
      <c r="G63" s="44">
        <f t="shared" si="24"/>
        <v>-7368.636363636364</v>
      </c>
      <c r="H63" s="44">
        <f t="shared" si="24"/>
        <v>-7297.136363636364</v>
      </c>
      <c r="I63" s="44">
        <f t="shared" si="24"/>
        <v>-7225.636363636364</v>
      </c>
      <c r="J63" s="44">
        <f t="shared" si="24"/>
        <v>-7154.136363636364</v>
      </c>
      <c r="K63" s="44">
        <f t="shared" si="24"/>
        <v>-7082.636363636364</v>
      </c>
      <c r="L63" s="65" t="s">
        <v>57</v>
      </c>
      <c r="M63" s="44">
        <f>M61-M62</f>
        <v>-39227.272727272633</v>
      </c>
      <c r="N63" s="44">
        <f>K63+M63</f>
        <v>-46309.909090909001</v>
      </c>
      <c r="AL63" s="44"/>
      <c r="AN63" s="68"/>
      <c r="AO63" s="47"/>
      <c r="AP63" s="68"/>
      <c r="AQ63" s="47"/>
    </row>
    <row r="64" spans="1:43">
      <c r="M64" s="44"/>
      <c r="N64" s="44"/>
      <c r="AL64" s="44"/>
      <c r="AN64" s="68"/>
      <c r="AO64" s="47"/>
      <c r="AP64" s="68"/>
    </row>
    <row r="65" spans="1:42">
      <c r="A65" s="43" t="s">
        <v>31</v>
      </c>
      <c r="M65" s="44"/>
      <c r="N65" s="44"/>
      <c r="AL65" s="44"/>
      <c r="AN65" s="68"/>
      <c r="AO65" s="47"/>
      <c r="AP65" s="68"/>
    </row>
    <row r="66" spans="1:42">
      <c r="A66" s="75" t="s">
        <v>58</v>
      </c>
      <c r="B66" s="44">
        <f t="shared" ref="B66:K66" si="25">B39</f>
        <v>0</v>
      </c>
      <c r="C66" s="44">
        <f t="shared" si="25"/>
        <v>0</v>
      </c>
      <c r="D66" s="44">
        <f t="shared" si="25"/>
        <v>50000</v>
      </c>
      <c r="E66" s="44">
        <f t="shared" si="25"/>
        <v>0</v>
      </c>
      <c r="F66" s="44">
        <f t="shared" si="25"/>
        <v>0</v>
      </c>
      <c r="G66" s="44">
        <f t="shared" si="25"/>
        <v>0</v>
      </c>
      <c r="H66" s="44">
        <f t="shared" si="25"/>
        <v>0</v>
      </c>
      <c r="I66" s="44">
        <f t="shared" si="25"/>
        <v>50000</v>
      </c>
      <c r="J66" s="44">
        <f t="shared" si="25"/>
        <v>0</v>
      </c>
      <c r="K66" s="44">
        <f t="shared" si="25"/>
        <v>0</v>
      </c>
      <c r="M66" s="44"/>
      <c r="N66" s="44"/>
      <c r="AL66" s="44"/>
      <c r="AN66" s="68"/>
      <c r="AO66" s="47"/>
      <c r="AP66" s="68"/>
    </row>
    <row r="67" spans="1:42">
      <c r="A67" s="75" t="s">
        <v>59</v>
      </c>
      <c r="B67" s="44">
        <f t="shared" ref="B67:K67" si="26">B59</f>
        <v>27636.363636363636</v>
      </c>
      <c r="C67" s="44">
        <f t="shared" si="26"/>
        <v>27636.363636363636</v>
      </c>
      <c r="D67" s="44">
        <f t="shared" si="26"/>
        <v>27636.363636363636</v>
      </c>
      <c r="E67" s="44">
        <f t="shared" si="26"/>
        <v>27636.363636363636</v>
      </c>
      <c r="F67" s="44">
        <f t="shared" si="26"/>
        <v>27636.363636363636</v>
      </c>
      <c r="G67" s="44">
        <f t="shared" si="26"/>
        <v>27636.363636363636</v>
      </c>
      <c r="H67" s="44">
        <f t="shared" si="26"/>
        <v>27636.363636363636</v>
      </c>
      <c r="I67" s="44">
        <f t="shared" si="26"/>
        <v>27636.363636363636</v>
      </c>
      <c r="J67" s="44">
        <f t="shared" si="26"/>
        <v>27636.363636363636</v>
      </c>
      <c r="K67" s="44">
        <f t="shared" si="26"/>
        <v>27636.363636363636</v>
      </c>
      <c r="L67" s="65" t="s">
        <v>34</v>
      </c>
      <c r="M67" s="44">
        <f>M59</f>
        <v>773636.36363636353</v>
      </c>
      <c r="N67" s="44"/>
      <c r="AL67" s="44"/>
      <c r="AN67" s="47"/>
      <c r="AO67" s="47"/>
      <c r="AP67" s="68"/>
    </row>
    <row r="68" spans="1:42">
      <c r="A68" s="75" t="s">
        <v>60</v>
      </c>
      <c r="B68" s="44">
        <f t="shared" ref="B68:K68" si="27">$J$8</f>
        <v>2000</v>
      </c>
      <c r="C68" s="44">
        <f t="shared" si="27"/>
        <v>2000</v>
      </c>
      <c r="D68" s="44">
        <f t="shared" si="27"/>
        <v>2000</v>
      </c>
      <c r="E68" s="44">
        <f t="shared" si="27"/>
        <v>2000</v>
      </c>
      <c r="F68" s="44">
        <f t="shared" si="27"/>
        <v>2000</v>
      </c>
      <c r="G68" s="44">
        <f t="shared" si="27"/>
        <v>2000</v>
      </c>
      <c r="H68" s="44">
        <f t="shared" si="27"/>
        <v>2000</v>
      </c>
      <c r="I68" s="44">
        <f t="shared" si="27"/>
        <v>2000</v>
      </c>
      <c r="J68" s="44">
        <f t="shared" si="27"/>
        <v>2000</v>
      </c>
      <c r="K68" s="44">
        <f t="shared" si="27"/>
        <v>2000</v>
      </c>
      <c r="L68" s="65" t="s">
        <v>61</v>
      </c>
      <c r="M68" s="44">
        <f>J6-SUM(B68:K68)</f>
        <v>730000</v>
      </c>
      <c r="N68" s="44"/>
      <c r="AL68" s="44"/>
      <c r="AN68" s="47"/>
      <c r="AO68" s="47"/>
    </row>
    <row r="69" spans="1:42">
      <c r="A69" s="75" t="s">
        <v>62</v>
      </c>
      <c r="B69" s="44">
        <f t="shared" ref="B69:K69" si="28">B63-B66+B67-B68</f>
        <v>17910.227272727272</v>
      </c>
      <c r="C69" s="44">
        <f t="shared" si="28"/>
        <v>17981.727272727272</v>
      </c>
      <c r="D69" s="44">
        <f t="shared" si="28"/>
        <v>-31946.772727272732</v>
      </c>
      <c r="E69" s="44">
        <f t="shared" si="28"/>
        <v>18124.727272727272</v>
      </c>
      <c r="F69" s="44">
        <f t="shared" si="28"/>
        <v>18196.227272727272</v>
      </c>
      <c r="G69" s="44">
        <f t="shared" si="28"/>
        <v>18267.727272727272</v>
      </c>
      <c r="H69" s="44">
        <f t="shared" si="28"/>
        <v>18339.227272727272</v>
      </c>
      <c r="I69" s="44">
        <f t="shared" si="28"/>
        <v>-31589.272727272732</v>
      </c>
      <c r="J69" s="44">
        <f t="shared" si="28"/>
        <v>18482.227272727272</v>
      </c>
      <c r="K69" s="44">
        <f t="shared" si="28"/>
        <v>18553.727272727272</v>
      </c>
      <c r="L69" s="65" t="s">
        <v>62</v>
      </c>
      <c r="M69" s="44">
        <f>M63+M67-M68</f>
        <v>4409.0909090909408</v>
      </c>
      <c r="N69" s="44">
        <f>K69+M69</f>
        <v>22962.818181818213</v>
      </c>
      <c r="AL69" s="44"/>
      <c r="AN69" s="47"/>
      <c r="AO69" s="47"/>
    </row>
    <row r="70" spans="1:42">
      <c r="M70" s="44"/>
      <c r="N70" s="44"/>
      <c r="AL70" s="44"/>
      <c r="AN70" s="47"/>
      <c r="AO70" s="47"/>
    </row>
    <row r="71" spans="1:42">
      <c r="A71" s="75" t="s">
        <v>37</v>
      </c>
      <c r="B71" s="44">
        <f t="shared" ref="B71:K71" si="29">B62</f>
        <v>-4160.2272727272721</v>
      </c>
      <c r="C71" s="44">
        <f t="shared" si="29"/>
        <v>-4121.7272727272721</v>
      </c>
      <c r="D71" s="44">
        <f t="shared" si="29"/>
        <v>-4083.2272727272725</v>
      </c>
      <c r="E71" s="44">
        <f t="shared" si="29"/>
        <v>-4044.7272727272725</v>
      </c>
      <c r="F71" s="44">
        <f t="shared" si="29"/>
        <v>-4006.2272727272725</v>
      </c>
      <c r="G71" s="44">
        <f t="shared" si="29"/>
        <v>-3967.7272727272725</v>
      </c>
      <c r="H71" s="44">
        <f t="shared" si="29"/>
        <v>-3929.2272727272725</v>
      </c>
      <c r="I71" s="44">
        <f t="shared" si="29"/>
        <v>-3890.7272727272725</v>
      </c>
      <c r="J71" s="44">
        <f t="shared" si="29"/>
        <v>-3852.2272727272725</v>
      </c>
      <c r="K71" s="44">
        <f t="shared" si="29"/>
        <v>-3813.7272727272725</v>
      </c>
      <c r="L71" s="65" t="s">
        <v>38</v>
      </c>
      <c r="M71" s="44">
        <f>M62</f>
        <v>25590.909090909103</v>
      </c>
      <c r="N71" s="44"/>
      <c r="AL71" s="44"/>
      <c r="AN71" s="47"/>
      <c r="AO71" s="47"/>
    </row>
    <row r="72" spans="1:42">
      <c r="A72" s="75" t="s">
        <v>63</v>
      </c>
      <c r="B72" s="44">
        <f t="shared" ref="B72:K72" si="30">B69+B71</f>
        <v>13750</v>
      </c>
      <c r="C72" s="44">
        <f t="shared" si="30"/>
        <v>13860</v>
      </c>
      <c r="D72" s="44">
        <f t="shared" si="30"/>
        <v>-36030.000000000007</v>
      </c>
      <c r="E72" s="44">
        <f t="shared" si="30"/>
        <v>14080</v>
      </c>
      <c r="F72" s="44">
        <f t="shared" si="30"/>
        <v>14190</v>
      </c>
      <c r="G72" s="44">
        <f t="shared" si="30"/>
        <v>14300</v>
      </c>
      <c r="H72" s="44">
        <f t="shared" si="30"/>
        <v>14410</v>
      </c>
      <c r="I72" s="44">
        <f t="shared" si="30"/>
        <v>-35480.000000000007</v>
      </c>
      <c r="J72" s="44">
        <f t="shared" si="30"/>
        <v>14630</v>
      </c>
      <c r="K72" s="44">
        <f t="shared" si="30"/>
        <v>14740</v>
      </c>
      <c r="L72" s="65" t="s">
        <v>63</v>
      </c>
      <c r="M72" s="44">
        <f>M69+M71</f>
        <v>30000.000000000044</v>
      </c>
      <c r="N72" s="44">
        <f>K72+M72</f>
        <v>44740.000000000044</v>
      </c>
      <c r="AL72" s="44"/>
      <c r="AN72" s="47"/>
      <c r="AO72" s="47"/>
    </row>
    <row r="73" spans="1:42">
      <c r="M73" s="44"/>
      <c r="N73" s="44"/>
      <c r="AL73" s="44"/>
      <c r="AN73" s="47"/>
      <c r="AO73" s="47"/>
    </row>
    <row r="74" spans="1:42">
      <c r="A74" s="43" t="s">
        <v>51</v>
      </c>
      <c r="B74" s="44" t="s">
        <v>51</v>
      </c>
      <c r="C74" s="44" t="s">
        <v>51</v>
      </c>
      <c r="D74" s="44" t="s">
        <v>51</v>
      </c>
      <c r="E74" s="44" t="s">
        <v>51</v>
      </c>
      <c r="F74" s="44" t="s">
        <v>51</v>
      </c>
      <c r="G74" s="44" t="s">
        <v>51</v>
      </c>
      <c r="H74" s="44" t="s">
        <v>51</v>
      </c>
      <c r="I74" s="44" t="s">
        <v>51</v>
      </c>
      <c r="J74" s="44" t="s">
        <v>51</v>
      </c>
      <c r="K74" s="44" t="s">
        <v>51</v>
      </c>
      <c r="L74" s="44" t="s">
        <v>51</v>
      </c>
      <c r="M74" s="44" t="s">
        <v>51</v>
      </c>
      <c r="N74" s="44" t="s">
        <v>51</v>
      </c>
      <c r="O74" s="44"/>
      <c r="P74" s="44"/>
      <c r="Q74" s="44"/>
      <c r="R74" s="44"/>
      <c r="S74" s="44"/>
    </row>
    <row r="75" spans="1:42">
      <c r="A75" s="44" t="s">
        <v>64</v>
      </c>
      <c r="H75" s="43"/>
    </row>
    <row r="76" spans="1:42">
      <c r="B76" s="71" t="s">
        <v>99</v>
      </c>
      <c r="K76" s="65" t="s">
        <v>15</v>
      </c>
      <c r="L76" s="65" t="s">
        <v>16</v>
      </c>
      <c r="M76" s="75" t="s">
        <v>17</v>
      </c>
      <c r="N76" s="75" t="s">
        <v>107</v>
      </c>
    </row>
    <row r="77" spans="1:42">
      <c r="A77" s="43" t="s">
        <v>18</v>
      </c>
      <c r="B77" s="86">
        <v>1</v>
      </c>
      <c r="C77" s="86">
        <v>2</v>
      </c>
      <c r="D77" s="86">
        <v>3</v>
      </c>
      <c r="E77" s="86">
        <v>4</v>
      </c>
      <c r="F77" s="86">
        <v>5</v>
      </c>
      <c r="G77" s="86">
        <v>6</v>
      </c>
      <c r="H77" s="86">
        <v>7</v>
      </c>
      <c r="I77" s="86">
        <v>8</v>
      </c>
      <c r="J77" s="86">
        <v>9</v>
      </c>
      <c r="K77" s="65" t="s">
        <v>19</v>
      </c>
      <c r="L77" s="65" t="s">
        <v>20</v>
      </c>
      <c r="M77" s="75" t="s">
        <v>19</v>
      </c>
      <c r="N77" s="75" t="s">
        <v>19</v>
      </c>
    </row>
    <row r="78" spans="1:42">
      <c r="A78" s="43" t="s">
        <v>21</v>
      </c>
      <c r="M78" s="44"/>
      <c r="N78" s="44"/>
    </row>
    <row r="79" spans="1:42">
      <c r="A79" s="75" t="s">
        <v>118</v>
      </c>
      <c r="B79" s="44">
        <f t="shared" ref="B79:K79" si="31">B58</f>
        <v>57000</v>
      </c>
      <c r="C79" s="44">
        <f t="shared" si="31"/>
        <v>57000</v>
      </c>
      <c r="D79" s="44">
        <f t="shared" si="31"/>
        <v>57000</v>
      </c>
      <c r="E79" s="44">
        <f t="shared" si="31"/>
        <v>57000</v>
      </c>
      <c r="F79" s="44">
        <f t="shared" si="31"/>
        <v>57000</v>
      </c>
      <c r="G79" s="44">
        <f t="shared" si="31"/>
        <v>57000</v>
      </c>
      <c r="H79" s="44">
        <f t="shared" si="31"/>
        <v>57000</v>
      </c>
      <c r="I79" s="44">
        <f t="shared" si="31"/>
        <v>57000</v>
      </c>
      <c r="J79" s="44">
        <f t="shared" si="31"/>
        <v>57000</v>
      </c>
      <c r="K79" s="44">
        <f t="shared" si="31"/>
        <v>57000</v>
      </c>
      <c r="L79" s="65" t="s">
        <v>22</v>
      </c>
      <c r="M79" s="44">
        <f>M58</f>
        <v>760000</v>
      </c>
      <c r="N79" s="44"/>
    </row>
    <row r="80" spans="1:42">
      <c r="A80" s="75" t="s">
        <v>58</v>
      </c>
      <c r="B80" s="44">
        <f t="shared" ref="B80:K80" si="32">B66</f>
        <v>0</v>
      </c>
      <c r="C80" s="44">
        <f t="shared" si="32"/>
        <v>0</v>
      </c>
      <c r="D80" s="44">
        <f t="shared" si="32"/>
        <v>50000</v>
      </c>
      <c r="E80" s="44">
        <f t="shared" si="32"/>
        <v>0</v>
      </c>
      <c r="F80" s="44">
        <f t="shared" si="32"/>
        <v>0</v>
      </c>
      <c r="G80" s="44">
        <f t="shared" si="32"/>
        <v>0</v>
      </c>
      <c r="H80" s="44">
        <f t="shared" si="32"/>
        <v>0</v>
      </c>
      <c r="I80" s="44">
        <f t="shared" si="32"/>
        <v>50000</v>
      </c>
      <c r="J80" s="44">
        <f t="shared" si="32"/>
        <v>0</v>
      </c>
      <c r="K80" s="44">
        <f t="shared" si="32"/>
        <v>0</v>
      </c>
      <c r="M80" s="44"/>
      <c r="N80" s="44"/>
    </row>
    <row r="81" spans="1:256">
      <c r="A81" s="75" t="s">
        <v>39</v>
      </c>
      <c r="B81" s="44">
        <f t="shared" ref="B81:K81" si="33">B79-B80</f>
        <v>57000</v>
      </c>
      <c r="C81" s="44">
        <f t="shared" si="33"/>
        <v>57000</v>
      </c>
      <c r="D81" s="44">
        <f t="shared" si="33"/>
        <v>7000</v>
      </c>
      <c r="E81" s="44">
        <f t="shared" si="33"/>
        <v>57000</v>
      </c>
      <c r="F81" s="44">
        <f t="shared" si="33"/>
        <v>57000</v>
      </c>
      <c r="G81" s="44">
        <f t="shared" si="33"/>
        <v>57000</v>
      </c>
      <c r="H81" s="44">
        <f t="shared" si="33"/>
        <v>57000</v>
      </c>
      <c r="I81" s="44">
        <f t="shared" si="33"/>
        <v>7000</v>
      </c>
      <c r="J81" s="44">
        <f t="shared" si="33"/>
        <v>57000</v>
      </c>
      <c r="K81" s="44">
        <f t="shared" si="33"/>
        <v>57000</v>
      </c>
      <c r="L81" s="65" t="s">
        <v>39</v>
      </c>
      <c r="M81" s="44">
        <f>M79</f>
        <v>760000</v>
      </c>
      <c r="N81" s="44">
        <f>K81+M81</f>
        <v>817000</v>
      </c>
    </row>
    <row r="82" spans="1:256">
      <c r="A82" s="87" t="s">
        <v>65</v>
      </c>
      <c r="B82" s="44">
        <f t="shared" ref="B82:K82" si="34">B60+B68</f>
        <v>43250</v>
      </c>
      <c r="C82" s="44">
        <f t="shared" si="34"/>
        <v>43140</v>
      </c>
      <c r="D82" s="44">
        <f t="shared" si="34"/>
        <v>43030</v>
      </c>
      <c r="E82" s="44">
        <f t="shared" si="34"/>
        <v>42920</v>
      </c>
      <c r="F82" s="44">
        <f t="shared" si="34"/>
        <v>42810</v>
      </c>
      <c r="G82" s="44">
        <f t="shared" si="34"/>
        <v>42700</v>
      </c>
      <c r="H82" s="44">
        <f t="shared" si="34"/>
        <v>42590</v>
      </c>
      <c r="I82" s="44">
        <f t="shared" si="34"/>
        <v>42480</v>
      </c>
      <c r="J82" s="44">
        <f t="shared" si="34"/>
        <v>42370</v>
      </c>
      <c r="K82" s="44">
        <f t="shared" si="34"/>
        <v>42260</v>
      </c>
      <c r="L82" s="65" t="s">
        <v>66</v>
      </c>
      <c r="M82" s="44">
        <f>I23</f>
        <v>730000</v>
      </c>
      <c r="N82" s="44"/>
    </row>
    <row r="83" spans="1:256">
      <c r="A83" s="75" t="s">
        <v>63</v>
      </c>
      <c r="B83" s="44">
        <f t="shared" ref="B83:K83" si="35">B81-B82</f>
        <v>13750</v>
      </c>
      <c r="C83" s="44">
        <f t="shared" si="35"/>
        <v>13860</v>
      </c>
      <c r="D83" s="44">
        <f t="shared" si="35"/>
        <v>-36030</v>
      </c>
      <c r="E83" s="44">
        <f t="shared" si="35"/>
        <v>14080</v>
      </c>
      <c r="F83" s="44">
        <f t="shared" si="35"/>
        <v>14190</v>
      </c>
      <c r="G83" s="44">
        <f t="shared" si="35"/>
        <v>14300</v>
      </c>
      <c r="H83" s="44">
        <f t="shared" si="35"/>
        <v>14410</v>
      </c>
      <c r="I83" s="44">
        <f t="shared" si="35"/>
        <v>-35480</v>
      </c>
      <c r="J83" s="44">
        <f t="shared" si="35"/>
        <v>14630</v>
      </c>
      <c r="K83" s="44">
        <f t="shared" si="35"/>
        <v>14740</v>
      </c>
      <c r="L83" s="65" t="s">
        <v>63</v>
      </c>
      <c r="M83" s="44">
        <f>M81-M82</f>
        <v>30000</v>
      </c>
      <c r="N83" s="44">
        <f>K83+M83</f>
        <v>44740</v>
      </c>
    </row>
    <row r="84" spans="1:256">
      <c r="A84" s="65" t="s">
        <v>67</v>
      </c>
      <c r="B84" s="44">
        <f t="shared" ref="B84:K84" si="36">$C$8*B79</f>
        <v>19950</v>
      </c>
      <c r="C84" s="44">
        <f t="shared" si="36"/>
        <v>19950</v>
      </c>
      <c r="D84" s="44">
        <f t="shared" si="36"/>
        <v>19950</v>
      </c>
      <c r="E84" s="44">
        <f t="shared" si="36"/>
        <v>19950</v>
      </c>
      <c r="F84" s="44">
        <f t="shared" si="36"/>
        <v>19950</v>
      </c>
      <c r="G84" s="44">
        <f t="shared" si="36"/>
        <v>19950</v>
      </c>
      <c r="H84" s="44">
        <f t="shared" si="36"/>
        <v>19950</v>
      </c>
      <c r="I84" s="44">
        <f t="shared" si="36"/>
        <v>19950</v>
      </c>
      <c r="J84" s="44">
        <f t="shared" si="36"/>
        <v>19950</v>
      </c>
      <c r="K84" s="44">
        <f t="shared" si="36"/>
        <v>19950</v>
      </c>
      <c r="L84" s="65" t="s">
        <v>68</v>
      </c>
      <c r="M84" s="44">
        <f>G8*(M79-(B13+SUM(B80:K80)))</f>
        <v>-43500</v>
      </c>
      <c r="N84" s="44">
        <f>K84+M84</f>
        <v>-23550</v>
      </c>
      <c r="O84" s="44"/>
      <c r="P84" s="44"/>
      <c r="Q84" s="44"/>
      <c r="R84" s="44"/>
      <c r="S84" s="44"/>
      <c r="T84" s="44"/>
      <c r="U84" s="64"/>
      <c r="V84" s="6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c r="IU84" s="44"/>
      <c r="IV84" s="44"/>
    </row>
    <row r="85" spans="1:256">
      <c r="A85" s="75" t="s">
        <v>69</v>
      </c>
      <c r="B85" s="44">
        <f t="shared" ref="B85:K85" si="37">$C$8*B59</f>
        <v>9672.7272727272721</v>
      </c>
      <c r="C85" s="44">
        <f t="shared" si="37"/>
        <v>9672.7272727272721</v>
      </c>
      <c r="D85" s="44">
        <f t="shared" si="37"/>
        <v>9672.7272727272721</v>
      </c>
      <c r="E85" s="44">
        <f t="shared" si="37"/>
        <v>9672.7272727272721</v>
      </c>
      <c r="F85" s="44">
        <f t="shared" si="37"/>
        <v>9672.7272727272721</v>
      </c>
      <c r="G85" s="44">
        <f t="shared" si="37"/>
        <v>9672.7272727272721</v>
      </c>
      <c r="H85" s="44">
        <f t="shared" si="37"/>
        <v>9672.7272727272721</v>
      </c>
      <c r="I85" s="44">
        <f t="shared" si="37"/>
        <v>9672.7272727272721</v>
      </c>
      <c r="J85" s="44">
        <f t="shared" si="37"/>
        <v>9672.7272727272721</v>
      </c>
      <c r="K85" s="44">
        <f t="shared" si="37"/>
        <v>9672.7272727272721</v>
      </c>
      <c r="L85" s="65" t="s">
        <v>70</v>
      </c>
      <c r="M85" s="44">
        <f>-G9*SUM(B59:K59)</f>
        <v>-69090.909090909103</v>
      </c>
      <c r="N85" s="44">
        <f>K85+M85</f>
        <v>-59418.181818181831</v>
      </c>
    </row>
    <row r="86" spans="1:256">
      <c r="A86" s="75" t="s">
        <v>71</v>
      </c>
      <c r="B86" s="44">
        <f t="shared" ref="B86:K86" si="38">$C$8*B60</f>
        <v>14437.499999999998</v>
      </c>
      <c r="C86" s="44">
        <f t="shared" si="38"/>
        <v>14398.999999999998</v>
      </c>
      <c r="D86" s="44">
        <f t="shared" si="38"/>
        <v>14360.499999999998</v>
      </c>
      <c r="E86" s="44">
        <f t="shared" si="38"/>
        <v>14322</v>
      </c>
      <c r="F86" s="44">
        <f t="shared" si="38"/>
        <v>14283.5</v>
      </c>
      <c r="G86" s="44">
        <f t="shared" si="38"/>
        <v>14245</v>
      </c>
      <c r="H86" s="44">
        <f t="shared" si="38"/>
        <v>14206.5</v>
      </c>
      <c r="I86" s="44">
        <f t="shared" si="38"/>
        <v>14168</v>
      </c>
      <c r="J86" s="44">
        <f t="shared" si="38"/>
        <v>14129.5</v>
      </c>
      <c r="K86" s="44">
        <f t="shared" si="38"/>
        <v>14091</v>
      </c>
      <c r="M86" s="44"/>
      <c r="N86" s="44">
        <f>K86+M86</f>
        <v>14091</v>
      </c>
    </row>
    <row r="87" spans="1:256">
      <c r="A87" s="75" t="s">
        <v>62</v>
      </c>
      <c r="B87" s="44">
        <f t="shared" ref="B87:K87" si="39">B83-B84+B85+B86</f>
        <v>17910.227272727272</v>
      </c>
      <c r="C87" s="44">
        <f t="shared" si="39"/>
        <v>17981.727272727272</v>
      </c>
      <c r="D87" s="44">
        <f t="shared" si="39"/>
        <v>-31946.772727272728</v>
      </c>
      <c r="E87" s="44">
        <f t="shared" si="39"/>
        <v>18124.727272727272</v>
      </c>
      <c r="F87" s="44">
        <f t="shared" si="39"/>
        <v>18196.227272727272</v>
      </c>
      <c r="G87" s="44">
        <f t="shared" si="39"/>
        <v>18267.727272727272</v>
      </c>
      <c r="H87" s="44">
        <f t="shared" si="39"/>
        <v>18339.227272727272</v>
      </c>
      <c r="I87" s="44">
        <f t="shared" si="39"/>
        <v>-31589.272727272728</v>
      </c>
      <c r="J87" s="44">
        <f t="shared" si="39"/>
        <v>18482.227272727272</v>
      </c>
      <c r="K87" s="44">
        <f t="shared" si="39"/>
        <v>18553.727272727272</v>
      </c>
      <c r="L87" s="75" t="s">
        <v>12</v>
      </c>
      <c r="M87" s="44">
        <f>M83-M84+M85+M86</f>
        <v>4409.0909090908972</v>
      </c>
      <c r="N87" s="44">
        <f>K87+M87</f>
        <v>22962.818181818169</v>
      </c>
    </row>
    <row r="8162" spans="2:12">
      <c r="B8162" s="43"/>
      <c r="C8162" s="43"/>
      <c r="D8162" s="43"/>
      <c r="E8162" s="43"/>
      <c r="F8162" s="43"/>
      <c r="G8162" s="43"/>
      <c r="H8162" s="43"/>
      <c r="J8162" s="43"/>
      <c r="K8162" s="43"/>
      <c r="L8162" s="43"/>
    </row>
    <row r="8163" spans="2:12">
      <c r="B8163" s="43"/>
      <c r="C8163" s="43"/>
      <c r="D8163" s="43"/>
      <c r="E8163" s="43"/>
      <c r="F8163" s="43"/>
      <c r="G8163" s="43"/>
      <c r="H8163" s="43"/>
      <c r="J8163" s="43"/>
      <c r="K8163" s="43"/>
      <c r="L8163" s="43"/>
    </row>
    <row r="8164" spans="2:12">
      <c r="B8164" s="43"/>
      <c r="C8164" s="43"/>
      <c r="D8164" s="43"/>
      <c r="E8164" s="43"/>
      <c r="F8164" s="43"/>
      <c r="G8164" s="43"/>
      <c r="H8164" s="43"/>
      <c r="J8164" s="43"/>
      <c r="K8164" s="43"/>
      <c r="L8164" s="43"/>
    </row>
    <row r="8165" spans="2:12">
      <c r="B8165" s="43"/>
      <c r="C8165" s="43"/>
      <c r="D8165" s="43"/>
      <c r="E8165" s="43"/>
      <c r="F8165" s="43"/>
      <c r="G8165" s="43"/>
      <c r="H8165" s="43"/>
      <c r="J8165" s="43"/>
      <c r="K8165" s="43"/>
      <c r="L8165" s="43"/>
    </row>
    <row r="8166" spans="2:12">
      <c r="B8166" s="43"/>
      <c r="C8166" s="43"/>
      <c r="D8166" s="43"/>
      <c r="E8166" s="43"/>
      <c r="F8166" s="43"/>
      <c r="G8166" s="43"/>
      <c r="H8166" s="43"/>
      <c r="J8166" s="43"/>
      <c r="K8166" s="43"/>
      <c r="L8166" s="43"/>
    </row>
    <row r="8167" spans="2:12">
      <c r="B8167" s="43"/>
      <c r="C8167" s="43"/>
      <c r="D8167" s="43"/>
      <c r="E8167" s="43"/>
      <c r="F8167" s="43"/>
      <c r="G8167" s="43"/>
      <c r="H8167" s="43"/>
      <c r="J8167" s="43"/>
      <c r="K8167" s="43"/>
      <c r="L8167" s="43"/>
    </row>
    <row r="8168" spans="2:12">
      <c r="B8168" s="43"/>
      <c r="C8168" s="43"/>
      <c r="D8168" s="43"/>
      <c r="E8168" s="43"/>
      <c r="F8168" s="43"/>
      <c r="G8168" s="43"/>
      <c r="H8168" s="43"/>
      <c r="J8168" s="43"/>
      <c r="K8168" s="43"/>
      <c r="L8168" s="43"/>
    </row>
    <row r="8169" spans="2:12">
      <c r="B8169" s="43"/>
      <c r="C8169" s="43"/>
      <c r="D8169" s="43"/>
      <c r="E8169" s="43"/>
      <c r="F8169" s="43"/>
      <c r="G8169" s="43"/>
      <c r="H8169" s="43"/>
      <c r="J8169" s="43"/>
      <c r="K8169" s="43"/>
      <c r="L8169" s="43"/>
    </row>
    <row r="8170" spans="2:12">
      <c r="B8170" s="43"/>
      <c r="C8170" s="43"/>
      <c r="D8170" s="43"/>
      <c r="E8170" s="43"/>
      <c r="F8170" s="43"/>
      <c r="G8170" s="43"/>
      <c r="H8170" s="43"/>
      <c r="J8170" s="43"/>
      <c r="K8170" s="43"/>
      <c r="L8170" s="43"/>
    </row>
    <row r="8171" spans="2:12">
      <c r="B8171" s="43"/>
      <c r="C8171" s="43"/>
      <c r="D8171" s="43"/>
      <c r="E8171" s="43"/>
      <c r="F8171" s="43"/>
      <c r="G8171" s="43"/>
      <c r="H8171" s="43"/>
      <c r="J8171" s="43"/>
      <c r="K8171" s="43"/>
      <c r="L8171" s="43"/>
    </row>
    <row r="8172" spans="2:12">
      <c r="B8172" s="43"/>
      <c r="C8172" s="43"/>
      <c r="D8172" s="43"/>
      <c r="E8172" s="43"/>
      <c r="F8172" s="43"/>
      <c r="G8172" s="43"/>
      <c r="H8172" s="43"/>
      <c r="J8172" s="43"/>
      <c r="K8172" s="43"/>
      <c r="L8172" s="43"/>
    </row>
    <row r="8173" spans="2:12">
      <c r="B8173" s="43"/>
      <c r="C8173" s="43"/>
      <c r="D8173" s="43"/>
      <c r="E8173" s="43"/>
      <c r="F8173" s="43"/>
      <c r="G8173" s="43"/>
      <c r="H8173" s="43"/>
      <c r="J8173" s="43"/>
      <c r="K8173" s="43"/>
      <c r="L8173" s="43"/>
    </row>
    <row r="8174" spans="2:12">
      <c r="B8174" s="43"/>
      <c r="C8174" s="43"/>
      <c r="D8174" s="43"/>
      <c r="E8174" s="43"/>
      <c r="F8174" s="43"/>
      <c r="G8174" s="43"/>
      <c r="H8174" s="43"/>
      <c r="J8174" s="43"/>
      <c r="K8174" s="43"/>
      <c r="L8174" s="43"/>
    </row>
    <row r="8175" spans="2:12">
      <c r="B8175" s="43"/>
      <c r="C8175" s="43"/>
      <c r="D8175" s="43"/>
      <c r="E8175" s="43"/>
      <c r="F8175" s="43"/>
      <c r="G8175" s="43"/>
      <c r="H8175" s="43"/>
      <c r="J8175" s="43"/>
      <c r="K8175" s="43"/>
      <c r="L8175" s="43"/>
    </row>
    <row r="8176" spans="2:12">
      <c r="B8176" s="43"/>
      <c r="C8176" s="43"/>
      <c r="D8176" s="43"/>
      <c r="E8176" s="43"/>
      <c r="F8176" s="43"/>
      <c r="G8176" s="43"/>
      <c r="H8176" s="43"/>
      <c r="J8176" s="43"/>
      <c r="K8176" s="43"/>
      <c r="L8176" s="43"/>
    </row>
    <row r="8177" spans="2:12">
      <c r="B8177" s="43"/>
      <c r="C8177" s="43"/>
      <c r="D8177" s="43"/>
      <c r="E8177" s="43"/>
      <c r="F8177" s="43"/>
      <c r="G8177" s="43"/>
      <c r="H8177" s="43"/>
      <c r="J8177" s="43"/>
      <c r="K8177" s="43"/>
      <c r="L8177" s="43"/>
    </row>
    <row r="8178" spans="2:12">
      <c r="B8178" s="43"/>
      <c r="C8178" s="43"/>
      <c r="D8178" s="43"/>
      <c r="E8178" s="43"/>
      <c r="F8178" s="43"/>
      <c r="G8178" s="43"/>
      <c r="H8178" s="43"/>
      <c r="J8178" s="43"/>
      <c r="K8178" s="43"/>
      <c r="L8178" s="43"/>
    </row>
    <row r="8179" spans="2:12">
      <c r="B8179" s="43"/>
      <c r="C8179" s="43"/>
      <c r="D8179" s="43"/>
      <c r="E8179" s="43"/>
      <c r="F8179" s="43"/>
      <c r="G8179" s="43"/>
      <c r="H8179" s="43"/>
      <c r="J8179" s="43"/>
      <c r="K8179" s="43"/>
      <c r="L8179" s="43"/>
    </row>
    <row r="8180" spans="2:12">
      <c r="B8180" s="43"/>
      <c r="C8180" s="43"/>
      <c r="D8180" s="43"/>
      <c r="E8180" s="43"/>
      <c r="F8180" s="43"/>
      <c r="G8180" s="43"/>
      <c r="H8180" s="43"/>
      <c r="J8180" s="43"/>
      <c r="K8180" s="43"/>
      <c r="L8180" s="43"/>
    </row>
    <row r="8181" spans="2:12">
      <c r="B8181" s="43"/>
      <c r="C8181" s="43"/>
      <c r="D8181" s="43"/>
      <c r="E8181" s="43"/>
      <c r="F8181" s="43"/>
      <c r="G8181" s="43"/>
      <c r="H8181" s="43"/>
      <c r="J8181" s="43"/>
      <c r="K8181" s="43"/>
      <c r="L8181" s="43"/>
    </row>
    <row r="8182" spans="2:12">
      <c r="B8182" s="43"/>
      <c r="C8182" s="43"/>
      <c r="D8182" s="43"/>
      <c r="E8182" s="43"/>
      <c r="F8182" s="43"/>
      <c r="G8182" s="43"/>
      <c r="H8182" s="43"/>
      <c r="J8182" s="43"/>
      <c r="K8182" s="43"/>
      <c r="L8182" s="43"/>
    </row>
    <row r="8183" spans="2:12">
      <c r="B8183" s="43"/>
      <c r="C8183" s="43"/>
      <c r="D8183" s="43"/>
      <c r="E8183" s="43"/>
      <c r="F8183" s="43"/>
      <c r="G8183" s="43"/>
      <c r="H8183" s="43"/>
      <c r="J8183" s="43"/>
      <c r="K8183" s="43"/>
      <c r="L8183" s="43"/>
    </row>
    <row r="8184" spans="2:12">
      <c r="B8184" s="43"/>
      <c r="C8184" s="43"/>
      <c r="D8184" s="43"/>
      <c r="E8184" s="43"/>
      <c r="F8184" s="43"/>
      <c r="G8184" s="43"/>
      <c r="H8184" s="43"/>
      <c r="J8184" s="43"/>
      <c r="K8184" s="43"/>
      <c r="L8184" s="43"/>
    </row>
    <row r="8185" spans="2:12">
      <c r="B8185" s="43"/>
      <c r="C8185" s="43"/>
      <c r="D8185" s="43"/>
      <c r="E8185" s="43"/>
      <c r="F8185" s="43"/>
      <c r="G8185" s="43"/>
      <c r="H8185" s="43"/>
      <c r="J8185" s="43"/>
      <c r="K8185" s="43"/>
      <c r="L8185" s="43"/>
    </row>
    <row r="8186" spans="2:12">
      <c r="B8186" s="43"/>
      <c r="C8186" s="43"/>
      <c r="D8186" s="43"/>
      <c r="E8186" s="43"/>
      <c r="F8186" s="43"/>
      <c r="G8186" s="43"/>
      <c r="H8186" s="43"/>
      <c r="J8186" s="43"/>
      <c r="K8186" s="43"/>
      <c r="L8186" s="43"/>
    </row>
    <row r="8187" spans="2:12">
      <c r="B8187" s="43"/>
      <c r="C8187" s="43"/>
      <c r="D8187" s="43"/>
      <c r="E8187" s="43"/>
      <c r="F8187" s="43"/>
      <c r="G8187" s="43"/>
      <c r="H8187" s="43"/>
      <c r="J8187" s="43"/>
      <c r="K8187" s="43"/>
      <c r="L8187" s="43"/>
    </row>
    <row r="8188" spans="2:12">
      <c r="B8188" s="43"/>
      <c r="C8188" s="43"/>
      <c r="D8188" s="43"/>
      <c r="E8188" s="43"/>
      <c r="F8188" s="43"/>
      <c r="G8188" s="43"/>
      <c r="H8188" s="43"/>
      <c r="J8188" s="43"/>
      <c r="K8188" s="43"/>
      <c r="L8188" s="43"/>
    </row>
    <row r="8189" spans="2:12">
      <c r="B8189" s="43"/>
      <c r="C8189" s="43"/>
      <c r="D8189" s="43"/>
      <c r="E8189" s="43"/>
      <c r="F8189" s="43"/>
      <c r="G8189" s="43"/>
      <c r="H8189" s="43"/>
      <c r="J8189" s="43"/>
      <c r="K8189" s="43"/>
      <c r="L8189" s="43"/>
    </row>
    <row r="8190" spans="2:12">
      <c r="B8190" s="43"/>
      <c r="C8190" s="43"/>
      <c r="D8190" s="43"/>
      <c r="E8190" s="43"/>
      <c r="F8190" s="43"/>
      <c r="G8190" s="43"/>
      <c r="H8190" s="43"/>
      <c r="J8190" s="43"/>
      <c r="K8190" s="43"/>
      <c r="L8190" s="43"/>
    </row>
    <row r="8191" spans="2:12">
      <c r="B8191" s="43"/>
      <c r="C8191" s="43"/>
      <c r="D8191" s="43"/>
      <c r="E8191" s="43"/>
      <c r="F8191" s="43"/>
      <c r="G8191" s="43"/>
      <c r="H8191" s="43"/>
      <c r="J8191" s="43"/>
      <c r="K8191" s="43"/>
      <c r="L8191" s="43"/>
    </row>
    <row r="8192" spans="2:12">
      <c r="B8192" s="43"/>
      <c r="C8192" s="43"/>
      <c r="D8192" s="43"/>
      <c r="E8192" s="43"/>
      <c r="F8192" s="43"/>
      <c r="G8192" s="43"/>
      <c r="H8192" s="43"/>
      <c r="J8192" s="43"/>
      <c r="K8192" s="43"/>
      <c r="L8192" s="43"/>
    </row>
    <row r="8193" spans="2:12">
      <c r="B8193" s="43"/>
      <c r="C8193" s="43"/>
      <c r="D8193" s="43"/>
      <c r="E8193" s="43"/>
      <c r="F8193" s="43"/>
      <c r="G8193" s="43"/>
      <c r="H8193" s="43"/>
      <c r="J8193" s="43"/>
      <c r="K8193" s="43"/>
      <c r="L8193" s="43"/>
    </row>
  </sheetData>
  <phoneticPr fontId="10" type="noConversion"/>
  <pageMargins left="0.5" right="0.5" top="0.5" bottom="0.55000000000000004" header="0.5" footer="0.5"/>
  <pageSetup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6"/>
  <sheetViews>
    <sheetView zoomScaleNormal="100" workbookViewId="0"/>
  </sheetViews>
  <sheetFormatPr defaultRowHeight="13.2"/>
  <cols>
    <col min="1" max="1" width="39.109375" customWidth="1"/>
    <col min="2" max="2" width="10.88671875" bestFit="1" customWidth="1"/>
    <col min="3" max="3" width="10.33203125" style="15" bestFit="1" customWidth="1"/>
    <col min="4" max="4" width="10.109375" bestFit="1" customWidth="1"/>
    <col min="5" max="5" width="10.33203125" bestFit="1" customWidth="1"/>
    <col min="6" max="6" width="8.6640625" bestFit="1" customWidth="1"/>
    <col min="7" max="7" width="8.109375" bestFit="1" customWidth="1"/>
    <col min="8" max="8" width="9.6640625" bestFit="1" customWidth="1"/>
    <col min="9" max="13" width="8.109375" bestFit="1" customWidth="1"/>
    <col min="14" max="14" width="10.44140625" customWidth="1"/>
    <col min="15" max="15" width="10.5546875" customWidth="1"/>
    <col min="16" max="17" width="8.109375" bestFit="1" customWidth="1"/>
    <col min="19" max="19" width="2.6640625" customWidth="1"/>
  </cols>
  <sheetData>
    <row r="1" spans="1:19">
      <c r="A1" s="18" t="s">
        <v>194</v>
      </c>
      <c r="B1" s="20" t="s">
        <v>75</v>
      </c>
      <c r="C1" s="32"/>
      <c r="D1" s="20"/>
      <c r="E1" s="20"/>
      <c r="F1" s="20"/>
      <c r="G1" s="20"/>
      <c r="H1" s="20"/>
      <c r="I1" s="20"/>
      <c r="J1" s="20"/>
      <c r="K1" s="20"/>
      <c r="L1" s="20"/>
      <c r="M1" s="20"/>
      <c r="N1" s="20"/>
      <c r="O1" s="20"/>
      <c r="P1" s="20"/>
      <c r="Q1" s="1"/>
      <c r="R1" s="1"/>
      <c r="S1" s="2"/>
    </row>
    <row r="2" spans="1:19">
      <c r="A2" s="36" t="s">
        <v>121</v>
      </c>
      <c r="B2" s="37">
        <f>'MarglInvestrAPVvaluationEx14-6'!J7</f>
        <v>5.5E-2</v>
      </c>
      <c r="C2" s="41"/>
      <c r="D2" s="21"/>
      <c r="E2" s="21"/>
      <c r="F2" s="21"/>
      <c r="G2" s="21"/>
      <c r="H2" s="21"/>
      <c r="I2" s="21"/>
      <c r="J2" s="21"/>
      <c r="K2" s="21"/>
      <c r="L2" s="21"/>
      <c r="M2" s="21"/>
      <c r="N2" s="21"/>
      <c r="O2" s="21"/>
      <c r="P2" s="21"/>
      <c r="Q2" s="4"/>
      <c r="R2" s="4"/>
      <c r="S2" s="5"/>
    </row>
    <row r="3" spans="1:19">
      <c r="A3" s="36" t="s">
        <v>89</v>
      </c>
      <c r="B3" s="38">
        <f>'Splits Analysis Expected'!B3</f>
        <v>0.9</v>
      </c>
      <c r="C3" s="41"/>
      <c r="D3" s="42"/>
      <c r="E3" s="21"/>
      <c r="F3" s="21"/>
      <c r="G3" s="21"/>
      <c r="H3" s="21"/>
      <c r="I3" s="21"/>
      <c r="J3" s="21"/>
      <c r="K3" s="21"/>
      <c r="L3" s="21"/>
      <c r="M3" s="21"/>
      <c r="N3" s="21"/>
      <c r="O3" s="21"/>
      <c r="P3" s="21"/>
      <c r="Q3" s="4"/>
      <c r="R3" s="4"/>
      <c r="S3" s="5"/>
    </row>
    <row r="4" spans="1:19">
      <c r="A4" s="36" t="s">
        <v>90</v>
      </c>
      <c r="B4" s="38">
        <f>'Splits Analysis Expected'!B4</f>
        <v>0.06</v>
      </c>
      <c r="C4" s="41"/>
      <c r="D4" s="21"/>
      <c r="E4" s="21"/>
      <c r="F4" s="21"/>
      <c r="G4" s="21"/>
      <c r="H4" s="21"/>
      <c r="I4" s="21"/>
      <c r="J4" s="21"/>
      <c r="K4" s="21"/>
      <c r="L4" s="21"/>
      <c r="M4" s="21"/>
      <c r="N4" s="21"/>
      <c r="O4" s="21"/>
      <c r="P4" s="21"/>
      <c r="Q4" s="4"/>
      <c r="R4" s="4"/>
      <c r="S4" s="5"/>
    </row>
    <row r="5" spans="1:19">
      <c r="A5" s="36" t="s">
        <v>91</v>
      </c>
      <c r="B5" s="38">
        <f>'Splits Analysis Expected'!B5</f>
        <v>0.5</v>
      </c>
      <c r="C5" s="41"/>
      <c r="D5" s="21"/>
      <c r="E5" s="21"/>
      <c r="F5" s="21"/>
      <c r="G5" s="21"/>
      <c r="H5" s="21"/>
      <c r="I5" s="21"/>
      <c r="J5" s="21"/>
      <c r="K5" s="21"/>
      <c r="L5" s="21"/>
      <c r="M5" s="21"/>
      <c r="N5" s="21"/>
      <c r="O5" s="21"/>
      <c r="P5" s="21"/>
      <c r="Q5" s="4"/>
      <c r="R5" s="4"/>
      <c r="S5" s="5"/>
    </row>
    <row r="6" spans="1:19">
      <c r="A6" s="13" t="s">
        <v>108</v>
      </c>
      <c r="B6" s="22"/>
      <c r="C6" s="89" t="str">
        <f>'Splits Analysis Expected'!C6</f>
        <v>Year 0</v>
      </c>
      <c r="D6" s="89" t="str">
        <f>'Splits Analysis Expected'!D6</f>
        <v>Year 1</v>
      </c>
      <c r="E6" s="89" t="str">
        <f>'Splits Analysis Expected'!E6</f>
        <v>Year 2</v>
      </c>
      <c r="F6" s="89" t="str">
        <f>'Splits Analysis Expected'!F6</f>
        <v>Year 3</v>
      </c>
      <c r="G6" s="89" t="str">
        <f>'Splits Analysis Expected'!G6</f>
        <v>Year 4</v>
      </c>
      <c r="H6" s="89" t="str">
        <f>'Splits Analysis Expected'!H6</f>
        <v>Year 5</v>
      </c>
      <c r="I6" s="89" t="str">
        <f>'Splits Analysis Expected'!I6</f>
        <v>Year 6</v>
      </c>
      <c r="J6" s="89" t="str">
        <f>'Splits Analysis Expected'!J6</f>
        <v>Year 7</v>
      </c>
      <c r="K6" s="89" t="str">
        <f>'Splits Analysis Expected'!K6</f>
        <v>Year 8</v>
      </c>
      <c r="L6" s="89" t="str">
        <f>'Splits Analysis Expected'!L6</f>
        <v>Year 9</v>
      </c>
      <c r="M6" s="89" t="str">
        <f>'Splits Analysis Expected'!M6</f>
        <v>Year 10</v>
      </c>
      <c r="N6" s="89" t="str">
        <f>'Splits Analysis Expected'!N6</f>
        <v>Year 11</v>
      </c>
      <c r="P6" s="24"/>
      <c r="Q6" s="12"/>
      <c r="R6" s="12"/>
      <c r="S6" s="5"/>
    </row>
    <row r="7" spans="1:19">
      <c r="A7" s="13" t="s">
        <v>117</v>
      </c>
      <c r="B7" s="22"/>
      <c r="C7" s="21"/>
      <c r="D7" s="16"/>
      <c r="E7" s="16"/>
      <c r="F7" s="16"/>
      <c r="G7" s="16"/>
      <c r="H7" s="16"/>
      <c r="I7" s="16"/>
      <c r="J7" s="16"/>
      <c r="K7" s="16"/>
      <c r="L7" s="16"/>
      <c r="M7" s="16"/>
      <c r="N7" s="16"/>
      <c r="P7" s="16"/>
      <c r="Q7" s="8"/>
      <c r="R7" s="8"/>
      <c r="S7" s="5"/>
    </row>
    <row r="8" spans="1:19">
      <c r="A8" s="13" t="s">
        <v>109</v>
      </c>
      <c r="B8" s="22"/>
      <c r="C8" s="25">
        <f>'MarglInvestrAPVvaluationEx14-6'!B13*(1-'MarglInvestrAPVvaluationEx14-6'!G6)</f>
        <v>199999.99999999994</v>
      </c>
      <c r="D8" s="25"/>
      <c r="E8" s="16"/>
      <c r="F8" s="16"/>
      <c r="G8" s="16"/>
      <c r="H8" s="16"/>
      <c r="I8" s="16"/>
      <c r="J8" s="16"/>
      <c r="K8" s="16"/>
      <c r="L8" s="16"/>
      <c r="M8" s="16"/>
      <c r="N8" s="16"/>
      <c r="P8" s="16"/>
      <c r="Q8" s="8"/>
      <c r="R8" s="8"/>
      <c r="S8" s="5"/>
    </row>
    <row r="9" spans="1:19">
      <c r="A9" s="13" t="s">
        <v>110</v>
      </c>
      <c r="B9" s="22"/>
      <c r="C9" s="26"/>
      <c r="D9" s="27">
        <f>'MarglInvestrAPVvaluationEx14-6'!J6</f>
        <v>750000</v>
      </c>
      <c r="E9" s="16"/>
      <c r="F9" s="16"/>
      <c r="G9" s="16"/>
      <c r="H9" s="21"/>
      <c r="I9" s="16"/>
      <c r="J9" s="16"/>
      <c r="K9" s="16"/>
      <c r="L9" s="16"/>
      <c r="M9" s="16"/>
      <c r="N9" s="16"/>
      <c r="P9" s="16"/>
      <c r="Q9" s="8"/>
      <c r="R9" s="8"/>
      <c r="S9" s="5"/>
    </row>
    <row r="10" spans="1:19">
      <c r="A10" s="13" t="s">
        <v>73</v>
      </c>
      <c r="B10" s="22"/>
      <c r="C10" s="16">
        <f>-SUM(C8:C9)</f>
        <v>-199999.99999999994</v>
      </c>
      <c r="D10" s="16">
        <f>-SUM(D8:D9)</f>
        <v>-750000</v>
      </c>
      <c r="E10" s="16"/>
      <c r="F10" s="16"/>
      <c r="G10" s="16"/>
      <c r="H10" s="16"/>
      <c r="I10" s="16"/>
      <c r="J10" s="16"/>
      <c r="K10" s="16"/>
      <c r="L10" s="16"/>
      <c r="M10" s="16"/>
      <c r="N10" s="16"/>
      <c r="P10" s="16"/>
      <c r="Q10" s="8"/>
      <c r="R10" s="8"/>
      <c r="S10" s="5"/>
    </row>
    <row r="11" spans="1:19">
      <c r="A11" s="13" t="s">
        <v>74</v>
      </c>
      <c r="B11" s="22"/>
      <c r="C11" s="16">
        <f>-C10</f>
        <v>199999.99999999994</v>
      </c>
      <c r="D11" s="16"/>
      <c r="E11" s="16"/>
      <c r="F11" s="16"/>
      <c r="G11" s="16"/>
      <c r="H11" s="16"/>
      <c r="I11" s="16"/>
      <c r="J11" s="16"/>
      <c r="K11" s="16"/>
      <c r="L11" s="16"/>
      <c r="M11" s="16"/>
      <c r="N11" s="16"/>
      <c r="P11" s="16"/>
      <c r="Q11" s="8"/>
      <c r="R11" s="8"/>
      <c r="S11" s="5"/>
    </row>
    <row r="12" spans="1:19">
      <c r="A12" s="13" t="s">
        <v>72</v>
      </c>
      <c r="B12" s="22"/>
      <c r="C12" s="21"/>
      <c r="D12" s="16">
        <f>-D10</f>
        <v>750000</v>
      </c>
      <c r="E12" s="16"/>
      <c r="F12" s="16"/>
      <c r="G12" s="16"/>
      <c r="H12" s="16"/>
      <c r="I12" s="16"/>
      <c r="J12" s="16"/>
      <c r="K12" s="16"/>
      <c r="L12" s="16"/>
      <c r="M12" s="16"/>
      <c r="N12" s="16"/>
      <c r="P12" s="16"/>
      <c r="Q12" s="8"/>
      <c r="R12" s="8"/>
      <c r="S12" s="5"/>
    </row>
    <row r="13" spans="1:19">
      <c r="A13" s="13" t="s">
        <v>119</v>
      </c>
      <c r="B13" s="22"/>
      <c r="C13" s="21"/>
      <c r="D13" s="16">
        <f>-D12</f>
        <v>-750000</v>
      </c>
      <c r="E13" s="16"/>
      <c r="F13" s="16"/>
      <c r="G13" s="16"/>
      <c r="H13" s="16"/>
      <c r="I13" s="16"/>
      <c r="J13" s="16"/>
      <c r="K13" s="16"/>
      <c r="L13" s="16"/>
      <c r="M13" s="16"/>
      <c r="N13" s="16"/>
      <c r="P13" s="16"/>
      <c r="Q13" s="8"/>
      <c r="R13" s="8"/>
      <c r="S13" s="5"/>
    </row>
    <row r="14" spans="1:19">
      <c r="A14" s="13" t="s">
        <v>82</v>
      </c>
      <c r="B14" s="22"/>
      <c r="C14" s="21"/>
      <c r="D14" s="16">
        <f>-D13</f>
        <v>750000</v>
      </c>
      <c r="E14" s="16"/>
      <c r="F14" s="16"/>
      <c r="G14" s="16"/>
      <c r="H14" s="16"/>
      <c r="I14" s="16"/>
      <c r="J14" s="16"/>
      <c r="K14" s="16"/>
      <c r="L14" s="16"/>
      <c r="M14" s="16"/>
      <c r="N14" s="16"/>
      <c r="P14" s="16"/>
      <c r="Q14" s="8"/>
      <c r="R14" s="8"/>
      <c r="S14" s="5"/>
    </row>
    <row r="15" spans="1:19">
      <c r="A15" s="13" t="s">
        <v>85</v>
      </c>
      <c r="B15" s="22"/>
      <c r="C15" s="21"/>
      <c r="D15" s="16"/>
      <c r="E15" s="16">
        <f>'Pessimistic CFs'!B44</f>
        <v>57000.000000000007</v>
      </c>
      <c r="F15" s="16">
        <f>'Pessimistic CFs'!C44</f>
        <v>57000.000000000007</v>
      </c>
      <c r="G15" s="16">
        <f>'Pessimistic CFs'!D44</f>
        <v>7000.0000000000018</v>
      </c>
      <c r="H15" s="16">
        <f>'Pessimistic CFs'!E44</f>
        <v>57000.000000000007</v>
      </c>
      <c r="I15" s="16">
        <f>'Pessimistic CFs'!F44</f>
        <v>57000.000000000007</v>
      </c>
      <c r="J15" s="16">
        <f>'Pessimistic CFs'!G44</f>
        <v>57000.000000000007</v>
      </c>
      <c r="K15" s="16">
        <f>'Pessimistic CFs'!H44</f>
        <v>57000.000000000007</v>
      </c>
      <c r="L15" s="16">
        <f>'Pessimistic CFs'!I44</f>
        <v>7000.0000000000018</v>
      </c>
      <c r="M15" s="16">
        <f>'Pessimistic CFs'!J44</f>
        <v>57000.000000000007</v>
      </c>
      <c r="N15" s="16">
        <f>'Pessimistic CFs'!K44</f>
        <v>57000.000000000007</v>
      </c>
      <c r="P15" s="16"/>
      <c r="Q15" s="8"/>
      <c r="R15" s="8"/>
      <c r="S15" s="5"/>
    </row>
    <row r="16" spans="1:19">
      <c r="A16" s="13" t="s">
        <v>86</v>
      </c>
      <c r="B16" s="22"/>
      <c r="C16" s="21"/>
      <c r="D16" s="16"/>
      <c r="E16" s="27">
        <f>0</f>
        <v>0</v>
      </c>
      <c r="F16" s="27">
        <f>0</f>
        <v>0</v>
      </c>
      <c r="G16" s="27">
        <f>0</f>
        <v>0</v>
      </c>
      <c r="H16" s="27">
        <f>0</f>
        <v>0</v>
      </c>
      <c r="I16" s="27">
        <f>0</f>
        <v>0</v>
      </c>
      <c r="J16" s="27">
        <f>0</f>
        <v>0</v>
      </c>
      <c r="K16" s="27">
        <f>0</f>
        <v>0</v>
      </c>
      <c r="L16" s="27">
        <f>0</f>
        <v>0</v>
      </c>
      <c r="M16" s="27">
        <f>0</f>
        <v>0</v>
      </c>
      <c r="N16" s="27">
        <f>'Pessimistic CFs'!M44</f>
        <v>760000</v>
      </c>
      <c r="P16" s="16"/>
      <c r="Q16" s="8"/>
      <c r="R16" s="8"/>
      <c r="S16" s="5"/>
    </row>
    <row r="17" spans="1:19" s="11" customFormat="1">
      <c r="A17" s="19" t="s">
        <v>83</v>
      </c>
      <c r="B17" s="17"/>
      <c r="E17" s="35">
        <f t="shared" ref="E17:N17" si="0">SUM(E15:E16)</f>
        <v>57000.000000000007</v>
      </c>
      <c r="F17" s="35">
        <f t="shared" si="0"/>
        <v>57000.000000000007</v>
      </c>
      <c r="G17" s="35">
        <f t="shared" si="0"/>
        <v>7000.0000000000018</v>
      </c>
      <c r="H17" s="35">
        <f t="shared" si="0"/>
        <v>57000.000000000007</v>
      </c>
      <c r="I17" s="35">
        <f t="shared" si="0"/>
        <v>57000.000000000007</v>
      </c>
      <c r="J17" s="35">
        <f t="shared" si="0"/>
        <v>57000.000000000007</v>
      </c>
      <c r="K17" s="35">
        <f t="shared" si="0"/>
        <v>57000.000000000007</v>
      </c>
      <c r="L17" s="35">
        <f t="shared" si="0"/>
        <v>7000.0000000000018</v>
      </c>
      <c r="M17" s="35">
        <f t="shared" si="0"/>
        <v>57000.000000000007</v>
      </c>
      <c r="N17" s="35">
        <f t="shared" si="0"/>
        <v>817000</v>
      </c>
      <c r="P17" s="10"/>
      <c r="Q17" s="10"/>
      <c r="R17" s="10"/>
      <c r="S17" s="14"/>
    </row>
    <row r="18" spans="1:19">
      <c r="A18" s="13" t="s">
        <v>101</v>
      </c>
      <c r="B18" s="22"/>
      <c r="C18" s="21"/>
      <c r="D18" s="16"/>
      <c r="E18" s="16">
        <f>-'MarglInvestrAPVvaluationEx14-6'!B82</f>
        <v>-43250</v>
      </c>
      <c r="F18" s="16">
        <f>-'MarglInvestrAPVvaluationEx14-6'!C82</f>
        <v>-43140</v>
      </c>
      <c r="G18" s="16">
        <f>-'MarglInvestrAPVvaluationEx14-6'!D82</f>
        <v>-43030</v>
      </c>
      <c r="H18" s="16">
        <f>-'MarglInvestrAPVvaluationEx14-6'!E82</f>
        <v>-42920</v>
      </c>
      <c r="I18" s="16">
        <f>-'MarglInvestrAPVvaluationEx14-6'!F82</f>
        <v>-42810</v>
      </c>
      <c r="J18" s="16">
        <f>-'MarglInvestrAPVvaluationEx14-6'!G82</f>
        <v>-42700</v>
      </c>
      <c r="K18" s="16">
        <f>-'MarglInvestrAPVvaluationEx14-6'!H82</f>
        <v>-42590</v>
      </c>
      <c r="L18" s="16">
        <f>-'MarglInvestrAPVvaluationEx14-6'!I82</f>
        <v>-42480</v>
      </c>
      <c r="M18" s="16">
        <f>-'MarglInvestrAPVvaluationEx14-6'!J82</f>
        <v>-42370</v>
      </c>
      <c r="N18" s="16">
        <f>-'MarglInvestrAPVvaluationEx14-6'!K82</f>
        <v>-42260</v>
      </c>
      <c r="P18" s="16"/>
      <c r="Q18" s="8"/>
      <c r="R18" s="8"/>
      <c r="S18" s="5"/>
    </row>
    <row r="19" spans="1:19">
      <c r="A19" s="28" t="s">
        <v>102</v>
      </c>
      <c r="B19" s="33"/>
      <c r="C19" s="23"/>
      <c r="D19" s="23"/>
      <c r="E19" s="23"/>
      <c r="F19" s="23"/>
      <c r="G19" s="23"/>
      <c r="H19" s="23"/>
      <c r="I19" s="23"/>
      <c r="J19" s="23"/>
      <c r="K19" s="23"/>
      <c r="L19" s="23"/>
      <c r="M19" s="23"/>
      <c r="N19" s="29">
        <f>-'MarglInvestrAPVvaluationEx14-6'!M82</f>
        <v>-730000</v>
      </c>
      <c r="P19" s="16"/>
      <c r="Q19" s="8"/>
      <c r="R19" s="8"/>
      <c r="S19" s="5"/>
    </row>
    <row r="20" spans="1:19">
      <c r="A20" s="13" t="s">
        <v>103</v>
      </c>
      <c r="B20" s="22"/>
      <c r="C20" s="21"/>
      <c r="D20" s="16">
        <f>D14</f>
        <v>750000</v>
      </c>
      <c r="E20" s="27">
        <f t="shared" ref="E20:N20" si="1">E18+E19</f>
        <v>-43250</v>
      </c>
      <c r="F20" s="27">
        <f t="shared" si="1"/>
        <v>-43140</v>
      </c>
      <c r="G20" s="27">
        <f t="shared" si="1"/>
        <v>-43030</v>
      </c>
      <c r="H20" s="27">
        <f t="shared" si="1"/>
        <v>-42920</v>
      </c>
      <c r="I20" s="27">
        <f t="shared" si="1"/>
        <v>-42810</v>
      </c>
      <c r="J20" s="27">
        <f t="shared" si="1"/>
        <v>-42700</v>
      </c>
      <c r="K20" s="27">
        <f t="shared" si="1"/>
        <v>-42590</v>
      </c>
      <c r="L20" s="27">
        <f t="shared" si="1"/>
        <v>-42480</v>
      </c>
      <c r="M20" s="27">
        <f t="shared" si="1"/>
        <v>-42370</v>
      </c>
      <c r="N20" s="27">
        <f t="shared" si="1"/>
        <v>-772260</v>
      </c>
      <c r="P20" s="16"/>
      <c r="Q20" s="8"/>
      <c r="R20" s="8"/>
      <c r="S20" s="5"/>
    </row>
    <row r="21" spans="1:19">
      <c r="A21" s="13" t="s">
        <v>87</v>
      </c>
      <c r="B21" s="22"/>
      <c r="C21" s="21"/>
      <c r="D21" s="16"/>
      <c r="E21" s="16">
        <f t="shared" ref="E21:N21" si="2">E15+E18</f>
        <v>13750.000000000007</v>
      </c>
      <c r="F21" s="16">
        <f t="shared" si="2"/>
        <v>13860.000000000007</v>
      </c>
      <c r="G21" s="16">
        <f t="shared" si="2"/>
        <v>-36030</v>
      </c>
      <c r="H21" s="16">
        <f t="shared" si="2"/>
        <v>14080.000000000007</v>
      </c>
      <c r="I21" s="16">
        <f t="shared" si="2"/>
        <v>14190.000000000007</v>
      </c>
      <c r="J21" s="16">
        <f t="shared" si="2"/>
        <v>14300.000000000007</v>
      </c>
      <c r="K21" s="16">
        <f t="shared" si="2"/>
        <v>14410.000000000007</v>
      </c>
      <c r="L21" s="16">
        <f t="shared" si="2"/>
        <v>-35480</v>
      </c>
      <c r="M21" s="16">
        <f t="shared" si="2"/>
        <v>14630.000000000007</v>
      </c>
      <c r="N21" s="16">
        <f t="shared" si="2"/>
        <v>14740.000000000007</v>
      </c>
      <c r="P21" s="16"/>
      <c r="Q21" s="8"/>
      <c r="R21" s="8"/>
      <c r="S21" s="5"/>
    </row>
    <row r="22" spans="1:19">
      <c r="A22" s="13" t="s">
        <v>88</v>
      </c>
      <c r="B22" s="22"/>
      <c r="C22" s="24"/>
      <c r="D22" s="30"/>
      <c r="E22" s="27">
        <f t="shared" ref="E22:N22" si="3">E16+E19</f>
        <v>0</v>
      </c>
      <c r="F22" s="27">
        <f t="shared" si="3"/>
        <v>0</v>
      </c>
      <c r="G22" s="27">
        <f t="shared" si="3"/>
        <v>0</v>
      </c>
      <c r="H22" s="27">
        <f t="shared" si="3"/>
        <v>0</v>
      </c>
      <c r="I22" s="27">
        <f t="shared" si="3"/>
        <v>0</v>
      </c>
      <c r="J22" s="27">
        <f t="shared" si="3"/>
        <v>0</v>
      </c>
      <c r="K22" s="27">
        <f t="shared" si="3"/>
        <v>0</v>
      </c>
      <c r="L22" s="27">
        <f t="shared" si="3"/>
        <v>0</v>
      </c>
      <c r="M22" s="27">
        <f t="shared" si="3"/>
        <v>0</v>
      </c>
      <c r="N22" s="27">
        <f t="shared" si="3"/>
        <v>30000</v>
      </c>
      <c r="P22" s="16"/>
      <c r="Q22" s="8"/>
      <c r="R22" s="8"/>
      <c r="S22" s="5"/>
    </row>
    <row r="23" spans="1:19" s="11" customFormat="1">
      <c r="A23" s="19" t="s">
        <v>84</v>
      </c>
      <c r="B23" s="17"/>
      <c r="D23" s="10"/>
      <c r="E23" s="10">
        <f t="shared" ref="E23:N23" si="4">SUM(E21:E22)</f>
        <v>13750.000000000007</v>
      </c>
      <c r="F23" s="10">
        <f t="shared" si="4"/>
        <v>13860.000000000007</v>
      </c>
      <c r="G23" s="10">
        <f t="shared" si="4"/>
        <v>-36030</v>
      </c>
      <c r="H23" s="10">
        <f t="shared" si="4"/>
        <v>14080.000000000007</v>
      </c>
      <c r="I23" s="10">
        <f t="shared" si="4"/>
        <v>14190.000000000007</v>
      </c>
      <c r="J23" s="10">
        <f t="shared" si="4"/>
        <v>14300.000000000007</v>
      </c>
      <c r="K23" s="10">
        <f t="shared" si="4"/>
        <v>14410.000000000007</v>
      </c>
      <c r="L23" s="10">
        <f t="shared" si="4"/>
        <v>-35480</v>
      </c>
      <c r="M23" s="10">
        <f t="shared" si="4"/>
        <v>14630.000000000007</v>
      </c>
      <c r="N23" s="10">
        <f t="shared" si="4"/>
        <v>44740.000000000007</v>
      </c>
      <c r="P23" s="10"/>
      <c r="Q23" s="10"/>
      <c r="R23" s="10"/>
      <c r="S23" s="14"/>
    </row>
    <row r="24" spans="1:19" s="11" customFormat="1">
      <c r="A24" s="19"/>
      <c r="B24" s="17"/>
      <c r="D24" s="10"/>
      <c r="E24" s="10"/>
      <c r="F24" s="10"/>
      <c r="G24" s="10"/>
      <c r="H24" s="10"/>
      <c r="I24" s="10"/>
      <c r="J24" s="10"/>
      <c r="K24" s="10"/>
      <c r="L24" s="10"/>
      <c r="M24" s="10"/>
      <c r="N24" s="10"/>
      <c r="P24" s="10"/>
      <c r="Q24" s="10"/>
      <c r="R24" s="10"/>
      <c r="S24" s="14"/>
    </row>
    <row r="25" spans="1:19" s="11" customFormat="1">
      <c r="A25" s="19" t="s">
        <v>77</v>
      </c>
      <c r="B25" s="17"/>
      <c r="D25" s="10"/>
      <c r="E25" s="10"/>
      <c r="F25" s="10"/>
      <c r="G25" s="10"/>
      <c r="H25" s="10"/>
      <c r="I25" s="10"/>
      <c r="J25" s="10"/>
      <c r="K25" s="10"/>
      <c r="L25" s="10"/>
      <c r="M25" s="10"/>
      <c r="N25" s="10"/>
      <c r="P25" s="10"/>
      <c r="Q25" s="10"/>
      <c r="R25" s="10"/>
      <c r="S25" s="14"/>
    </row>
    <row r="26" spans="1:19">
      <c r="A26" s="13" t="s">
        <v>97</v>
      </c>
      <c r="B26" s="22"/>
      <c r="C26" s="21"/>
      <c r="D26" s="16"/>
      <c r="E26" s="16"/>
      <c r="F26" s="16"/>
      <c r="G26" s="16"/>
      <c r="H26" s="16"/>
      <c r="I26" s="16"/>
      <c r="J26" s="16"/>
      <c r="K26" s="16"/>
      <c r="L26" s="16"/>
      <c r="M26" s="16"/>
      <c r="N26" s="16"/>
      <c r="P26" s="16"/>
      <c r="Q26" s="8"/>
      <c r="R26" s="8"/>
      <c r="S26" s="5"/>
    </row>
    <row r="27" spans="1:19">
      <c r="A27" s="13" t="s">
        <v>114</v>
      </c>
      <c r="B27" s="22"/>
      <c r="C27" s="16">
        <v>0</v>
      </c>
      <c r="D27" s="16">
        <f t="shared" ref="D27:N27" si="5">C33</f>
        <v>179999.99999999994</v>
      </c>
      <c r="E27" s="16">
        <f t="shared" si="5"/>
        <v>190799.99999999994</v>
      </c>
      <c r="F27" s="16">
        <f t="shared" si="5"/>
        <v>188497.99999999994</v>
      </c>
      <c r="G27" s="16">
        <f t="shared" si="5"/>
        <v>185947.87999999992</v>
      </c>
      <c r="H27" s="16">
        <f t="shared" si="5"/>
        <v>229531.7527999999</v>
      </c>
      <c r="I27" s="16">
        <f t="shared" si="5"/>
        <v>229223.6579679999</v>
      </c>
      <c r="J27" s="16">
        <f t="shared" si="5"/>
        <v>228787.07744607987</v>
      </c>
      <c r="K27" s="16">
        <f t="shared" si="5"/>
        <v>228214.30209284465</v>
      </c>
      <c r="L27" s="16">
        <f t="shared" si="5"/>
        <v>227497.16021841532</v>
      </c>
      <c r="M27" s="16">
        <f t="shared" si="5"/>
        <v>273078.98983152024</v>
      </c>
      <c r="N27" s="16">
        <f t="shared" si="5"/>
        <v>274833.72922141146</v>
      </c>
      <c r="P27" s="16"/>
      <c r="Q27" s="8"/>
      <c r="R27" s="8"/>
      <c r="S27" s="5"/>
    </row>
    <row r="28" spans="1:19">
      <c r="A28" s="13" t="s">
        <v>120</v>
      </c>
      <c r="B28" s="22"/>
      <c r="C28" s="16">
        <f>+C11*$B3</f>
        <v>179999.99999999994</v>
      </c>
      <c r="D28" s="16">
        <f>+D11*$B3</f>
        <v>0</v>
      </c>
      <c r="E28" s="16">
        <f t="shared" ref="E28:N28" si="6">(E11+IF(E21&lt;0,-E21,0))*$B3</f>
        <v>0</v>
      </c>
      <c r="F28" s="16">
        <f t="shared" si="6"/>
        <v>0</v>
      </c>
      <c r="G28" s="16">
        <f t="shared" si="6"/>
        <v>32427</v>
      </c>
      <c r="H28" s="16">
        <f t="shared" si="6"/>
        <v>0</v>
      </c>
      <c r="I28" s="16">
        <f t="shared" si="6"/>
        <v>0</v>
      </c>
      <c r="J28" s="16">
        <f t="shared" si="6"/>
        <v>0</v>
      </c>
      <c r="K28" s="16">
        <f t="shared" si="6"/>
        <v>0</v>
      </c>
      <c r="L28" s="16">
        <f t="shared" si="6"/>
        <v>31932</v>
      </c>
      <c r="M28" s="16">
        <f t="shared" si="6"/>
        <v>0</v>
      </c>
      <c r="N28" s="16">
        <f t="shared" si="6"/>
        <v>0</v>
      </c>
      <c r="P28" s="16"/>
      <c r="Q28" s="8"/>
      <c r="R28" s="8"/>
      <c r="S28" s="5"/>
    </row>
    <row r="29" spans="1:19">
      <c r="A29" s="13" t="s">
        <v>112</v>
      </c>
      <c r="B29" s="22"/>
      <c r="C29" s="16">
        <f>+B27*$B$4</f>
        <v>0</v>
      </c>
      <c r="D29" s="16">
        <f t="shared" ref="D29:N29" si="7">+D27*$B$4</f>
        <v>10799.999999999996</v>
      </c>
      <c r="E29" s="16">
        <f t="shared" si="7"/>
        <v>11447.999999999996</v>
      </c>
      <c r="F29" s="16">
        <f t="shared" si="7"/>
        <v>11309.879999999996</v>
      </c>
      <c r="G29" s="16">
        <f t="shared" si="7"/>
        <v>11156.872799999994</v>
      </c>
      <c r="H29" s="16">
        <f t="shared" si="7"/>
        <v>13771.905167999994</v>
      </c>
      <c r="I29" s="16">
        <f t="shared" si="7"/>
        <v>13753.419478079993</v>
      </c>
      <c r="J29" s="16">
        <f t="shared" si="7"/>
        <v>13727.224646764791</v>
      </c>
      <c r="K29" s="16">
        <f t="shared" si="7"/>
        <v>13692.858125570678</v>
      </c>
      <c r="L29" s="16">
        <f t="shared" si="7"/>
        <v>13649.829613104919</v>
      </c>
      <c r="M29" s="16">
        <f t="shared" si="7"/>
        <v>16384.739389891212</v>
      </c>
      <c r="N29" s="16">
        <f t="shared" si="7"/>
        <v>16490.023753284688</v>
      </c>
      <c r="P29" s="16"/>
      <c r="Q29" s="8"/>
      <c r="R29" s="8"/>
      <c r="S29" s="5"/>
    </row>
    <row r="30" spans="1:19">
      <c r="A30" s="13" t="s">
        <v>113</v>
      </c>
      <c r="B30" s="22"/>
      <c r="C30" s="16">
        <v>0</v>
      </c>
      <c r="D30" s="16">
        <v>0</v>
      </c>
      <c r="E30" s="16">
        <f t="shared" ref="E30:N30" si="8">-MIN(E29,MAX(E21,0))</f>
        <v>-11447.999999999996</v>
      </c>
      <c r="F30" s="16">
        <f t="shared" si="8"/>
        <v>-11309.879999999996</v>
      </c>
      <c r="G30" s="16">
        <f t="shared" si="8"/>
        <v>0</v>
      </c>
      <c r="H30" s="16">
        <f t="shared" si="8"/>
        <v>-13771.905167999994</v>
      </c>
      <c r="I30" s="16">
        <f t="shared" si="8"/>
        <v>-13753.419478079993</v>
      </c>
      <c r="J30" s="16">
        <f t="shared" si="8"/>
        <v>-13727.224646764791</v>
      </c>
      <c r="K30" s="16">
        <f t="shared" si="8"/>
        <v>-13692.858125570678</v>
      </c>
      <c r="L30" s="16">
        <f t="shared" si="8"/>
        <v>0</v>
      </c>
      <c r="M30" s="16">
        <f t="shared" si="8"/>
        <v>-14630.000000000007</v>
      </c>
      <c r="N30" s="16">
        <f t="shared" si="8"/>
        <v>-14740.000000000007</v>
      </c>
      <c r="P30" s="16"/>
      <c r="Q30" s="8"/>
      <c r="R30" s="8"/>
      <c r="S30" s="5"/>
    </row>
    <row r="31" spans="1:19">
      <c r="A31" s="13" t="s">
        <v>197</v>
      </c>
      <c r="B31" s="22"/>
      <c r="C31" s="16"/>
      <c r="D31" s="16"/>
      <c r="E31" s="16">
        <f>-MIN(MAX((E21+E30),0),(E27-SUM($C28:D28)))</f>
        <v>-2302.0000000000109</v>
      </c>
      <c r="F31" s="16">
        <f>-MIN(MAX((F21+F30),0),(F27-SUM($C28:E28)))</f>
        <v>-2550.1200000000117</v>
      </c>
      <c r="G31" s="16">
        <f>-MIN(MAX((G21+G30),0),(G27-SUM($C28:F28)))</f>
        <v>0</v>
      </c>
      <c r="H31" s="16">
        <f>-MIN(MAX((H21+H30),0),(H27-SUM($C28:G28)))</f>
        <v>-308.09483200001341</v>
      </c>
      <c r="I31" s="16">
        <f>-MIN(MAX((I21+I30),0),(I27-SUM($C28:H28)))</f>
        <v>-436.58052192001378</v>
      </c>
      <c r="J31" s="16">
        <f>-MIN(MAX((J21+J30),0),(J27-SUM($C28:I28)))</f>
        <v>-572.77535323521624</v>
      </c>
      <c r="K31" s="16">
        <f>-MIN(MAX((K21+K30),0),(K27-SUM($C28:J28)))</f>
        <v>-717.14187442932962</v>
      </c>
      <c r="L31" s="16">
        <f>-MIN(MAX((L21+L30),0),(L27-SUM($C28:K28)))</f>
        <v>0</v>
      </c>
      <c r="M31" s="16">
        <f>-MIN(MAX((M21+M30),0),(M27-SUM($C28:L28)))</f>
        <v>0</v>
      </c>
      <c r="N31" s="16">
        <f>-MIN(MAX((N21+N30),0),(N27-SUM($C28:M28)))</f>
        <v>0</v>
      </c>
      <c r="P31" s="16"/>
      <c r="Q31" s="8"/>
      <c r="R31" s="8"/>
      <c r="S31" s="5"/>
    </row>
    <row r="32" spans="1:19">
      <c r="A32" s="13" t="s">
        <v>111</v>
      </c>
      <c r="B32" s="22"/>
      <c r="C32" s="27">
        <f t="shared" ref="C32:N32" si="9">C29+C30</f>
        <v>0</v>
      </c>
      <c r="D32" s="27">
        <f t="shared" si="9"/>
        <v>10799.999999999996</v>
      </c>
      <c r="E32" s="27">
        <f t="shared" si="9"/>
        <v>0</v>
      </c>
      <c r="F32" s="27">
        <f t="shared" si="9"/>
        <v>0</v>
      </c>
      <c r="G32" s="27">
        <f t="shared" si="9"/>
        <v>11156.872799999994</v>
      </c>
      <c r="H32" s="27">
        <f t="shared" si="9"/>
        <v>0</v>
      </c>
      <c r="I32" s="27">
        <f t="shared" si="9"/>
        <v>0</v>
      </c>
      <c r="J32" s="27">
        <f t="shared" si="9"/>
        <v>0</v>
      </c>
      <c r="K32" s="27">
        <f t="shared" si="9"/>
        <v>0</v>
      </c>
      <c r="L32" s="27">
        <f t="shared" si="9"/>
        <v>13649.829613104919</v>
      </c>
      <c r="M32" s="27">
        <f t="shared" si="9"/>
        <v>1754.7393898912051</v>
      </c>
      <c r="N32" s="27">
        <f t="shared" si="9"/>
        <v>1750.0237532846804</v>
      </c>
      <c r="P32" s="16"/>
      <c r="Q32" s="8"/>
      <c r="R32" s="8"/>
      <c r="S32" s="5"/>
    </row>
    <row r="33" spans="1:20">
      <c r="A33" s="13" t="s">
        <v>115</v>
      </c>
      <c r="B33" s="22"/>
      <c r="C33" s="16">
        <f t="shared" ref="C33:D33" si="10">C27+C28+C31+C32</f>
        <v>179999.99999999994</v>
      </c>
      <c r="D33" s="16">
        <f t="shared" si="10"/>
        <v>190799.99999999994</v>
      </c>
      <c r="E33" s="16">
        <f>E27+E28+E31+E32</f>
        <v>188497.99999999994</v>
      </c>
      <c r="F33" s="16">
        <f t="shared" ref="F33:N33" si="11">F27+F28+F31+F32</f>
        <v>185947.87999999992</v>
      </c>
      <c r="G33" s="16">
        <f t="shared" si="11"/>
        <v>229531.7527999999</v>
      </c>
      <c r="H33" s="16">
        <f t="shared" si="11"/>
        <v>229223.6579679999</v>
      </c>
      <c r="I33" s="16">
        <f t="shared" si="11"/>
        <v>228787.07744607987</v>
      </c>
      <c r="J33" s="16">
        <f t="shared" si="11"/>
        <v>228214.30209284465</v>
      </c>
      <c r="K33" s="16">
        <f t="shared" si="11"/>
        <v>227497.16021841532</v>
      </c>
      <c r="L33" s="16">
        <f t="shared" si="11"/>
        <v>273078.98983152024</v>
      </c>
      <c r="M33" s="16">
        <f t="shared" si="11"/>
        <v>274833.72922141146</v>
      </c>
      <c r="N33" s="16">
        <f t="shared" si="11"/>
        <v>276583.75297469611</v>
      </c>
      <c r="P33" s="16"/>
      <c r="Q33" s="8"/>
      <c r="R33" s="8"/>
      <c r="S33" s="5"/>
    </row>
    <row r="34" spans="1:20">
      <c r="A34" s="13" t="s">
        <v>104</v>
      </c>
      <c r="B34" s="22"/>
      <c r="C34" s="31"/>
      <c r="D34" s="23"/>
      <c r="E34" s="16"/>
      <c r="F34" s="16"/>
      <c r="G34" s="16"/>
      <c r="H34" s="16"/>
      <c r="I34" s="16"/>
      <c r="J34" s="16"/>
      <c r="K34" s="16"/>
      <c r="L34" s="16"/>
      <c r="M34" s="16"/>
      <c r="N34" s="16"/>
      <c r="P34" s="16"/>
      <c r="Q34" s="8"/>
      <c r="R34" s="8"/>
      <c r="S34" s="5"/>
    </row>
    <row r="35" spans="1:20">
      <c r="A35" s="13" t="s">
        <v>116</v>
      </c>
      <c r="B35" s="22"/>
      <c r="C35" s="21"/>
      <c r="D35" s="16"/>
      <c r="E35" s="16"/>
      <c r="F35" s="16"/>
      <c r="G35" s="16"/>
      <c r="H35" s="16"/>
      <c r="I35" s="16"/>
      <c r="J35" s="16"/>
      <c r="K35" s="16"/>
      <c r="L35" s="16"/>
      <c r="M35" s="16"/>
      <c r="N35" s="16">
        <f>-MIN(N33,N22)</f>
        <v>-30000</v>
      </c>
      <c r="P35" s="16"/>
      <c r="Q35" s="8"/>
      <c r="R35" s="8"/>
      <c r="S35" s="5"/>
    </row>
    <row r="36" spans="1:20">
      <c r="A36" s="13" t="s">
        <v>105</v>
      </c>
      <c r="B36" s="22"/>
      <c r="C36" s="21"/>
      <c r="D36" s="16"/>
      <c r="E36" s="16"/>
      <c r="F36" s="16"/>
      <c r="G36" s="16"/>
      <c r="H36" s="16"/>
      <c r="I36" s="16"/>
      <c r="J36" s="16"/>
      <c r="K36" s="16"/>
      <c r="L36" s="16"/>
      <c r="M36" s="16"/>
      <c r="N36" s="16">
        <f>IF(N33+N35&gt;0,0,-MIN(N23+N35,(1-B3)*(C11-G23-L23)))</f>
        <v>0</v>
      </c>
      <c r="P36" s="16"/>
      <c r="Q36" s="8"/>
      <c r="R36" s="8"/>
      <c r="S36" s="5"/>
    </row>
    <row r="37" spans="1:20">
      <c r="A37" s="13"/>
      <c r="B37" s="22"/>
      <c r="C37" s="21"/>
      <c r="D37" s="16"/>
      <c r="E37" s="16"/>
      <c r="F37" s="16"/>
      <c r="G37" s="16"/>
      <c r="H37" s="16"/>
      <c r="I37" s="16"/>
      <c r="J37" s="16"/>
      <c r="K37" s="16"/>
      <c r="L37" s="16"/>
      <c r="M37" s="16"/>
      <c r="N37" s="16"/>
      <c r="P37" s="16"/>
      <c r="Q37" s="8"/>
      <c r="R37" s="8"/>
      <c r="S37" s="5"/>
    </row>
    <row r="38" spans="1:20">
      <c r="A38" s="19" t="s">
        <v>106</v>
      </c>
      <c r="B38" s="95"/>
      <c r="C38" s="96"/>
      <c r="D38" s="97"/>
      <c r="E38" s="97"/>
      <c r="F38" s="97"/>
      <c r="G38" s="97"/>
      <c r="H38" s="97"/>
      <c r="I38" s="97"/>
      <c r="J38" s="97"/>
      <c r="K38" s="97"/>
      <c r="L38" s="97"/>
      <c r="M38" s="97"/>
      <c r="N38" s="97"/>
      <c r="P38" s="16"/>
      <c r="Q38" s="8"/>
      <c r="R38" s="8"/>
      <c r="S38" s="5"/>
    </row>
    <row r="39" spans="1:20">
      <c r="A39" s="98"/>
      <c r="B39" s="99"/>
      <c r="C39" s="100" t="str">
        <f t="shared" ref="C39:N39" si="12">C6</f>
        <v>Year 0</v>
      </c>
      <c r="D39" s="100" t="str">
        <f t="shared" si="12"/>
        <v>Year 1</v>
      </c>
      <c r="E39" s="100" t="str">
        <f t="shared" si="12"/>
        <v>Year 2</v>
      </c>
      <c r="F39" s="100" t="str">
        <f t="shared" si="12"/>
        <v>Year 3</v>
      </c>
      <c r="G39" s="100" t="str">
        <f t="shared" si="12"/>
        <v>Year 4</v>
      </c>
      <c r="H39" s="100" t="str">
        <f t="shared" si="12"/>
        <v>Year 5</v>
      </c>
      <c r="I39" s="100" t="str">
        <f t="shared" si="12"/>
        <v>Year 6</v>
      </c>
      <c r="J39" s="100" t="str">
        <f t="shared" si="12"/>
        <v>Year 7</v>
      </c>
      <c r="K39" s="100" t="str">
        <f t="shared" si="12"/>
        <v>Year 8</v>
      </c>
      <c r="L39" s="100" t="str">
        <f t="shared" si="12"/>
        <v>Year 9</v>
      </c>
      <c r="M39" s="100" t="str">
        <f t="shared" si="12"/>
        <v>Year 10</v>
      </c>
      <c r="N39" s="100" t="str">
        <f t="shared" si="12"/>
        <v>Year 11</v>
      </c>
      <c r="O39" s="91"/>
      <c r="P39" s="92"/>
      <c r="Q39" s="93"/>
      <c r="R39" s="93"/>
      <c r="S39" s="94"/>
      <c r="T39" s="91"/>
    </row>
    <row r="40" spans="1:20">
      <c r="A40" s="19" t="s">
        <v>78</v>
      </c>
      <c r="B40" s="101" t="s">
        <v>198</v>
      </c>
      <c r="C40" s="96"/>
      <c r="D40" s="97"/>
      <c r="E40" s="97"/>
      <c r="F40" s="97"/>
      <c r="G40" s="97"/>
      <c r="H40" s="97"/>
      <c r="I40" s="97"/>
      <c r="J40" s="97"/>
      <c r="K40" s="97"/>
      <c r="L40" s="97"/>
      <c r="M40" s="97"/>
      <c r="N40" s="97"/>
      <c r="P40" s="16"/>
      <c r="Q40" s="8"/>
      <c r="R40" s="8"/>
      <c r="S40" s="5"/>
    </row>
    <row r="41" spans="1:20">
      <c r="A41" s="102" t="s">
        <v>92</v>
      </c>
      <c r="B41" s="103">
        <f>IRR(C41:D41)</f>
        <v>2.2204460492503131E-16</v>
      </c>
      <c r="C41" s="104">
        <f>-C11</f>
        <v>-199999.99999999994</v>
      </c>
      <c r="D41" s="104">
        <f>D13+'Pessimistic CFs'!B13</f>
        <v>200000</v>
      </c>
      <c r="E41" s="104"/>
      <c r="F41" s="104"/>
      <c r="G41" s="104"/>
      <c r="H41" s="104"/>
      <c r="I41" s="104"/>
      <c r="J41" s="104"/>
      <c r="K41" s="104"/>
      <c r="L41" s="104"/>
      <c r="M41" s="104"/>
      <c r="N41" s="104"/>
      <c r="P41" s="8"/>
      <c r="Q41" s="8"/>
      <c r="R41" s="8"/>
      <c r="S41" s="5"/>
    </row>
    <row r="42" spans="1:20">
      <c r="A42" s="102" t="s">
        <v>93</v>
      </c>
      <c r="B42" s="103">
        <f>IRR(D42:N42)</f>
        <v>3.2215386998332374E-2</v>
      </c>
      <c r="C42" s="105"/>
      <c r="D42" s="104">
        <f>-'Pessimistic CFs'!B13</f>
        <v>-950000</v>
      </c>
      <c r="E42" s="104">
        <f t="shared" ref="E42:N42" si="13">E17</f>
        <v>57000.000000000007</v>
      </c>
      <c r="F42" s="104">
        <f t="shared" si="13"/>
        <v>57000.000000000007</v>
      </c>
      <c r="G42" s="104">
        <f t="shared" si="13"/>
        <v>7000.0000000000018</v>
      </c>
      <c r="H42" s="104">
        <f t="shared" si="13"/>
        <v>57000.000000000007</v>
      </c>
      <c r="I42" s="104">
        <f t="shared" si="13"/>
        <v>57000.000000000007</v>
      </c>
      <c r="J42" s="104">
        <f t="shared" si="13"/>
        <v>57000.000000000007</v>
      </c>
      <c r="K42" s="104">
        <f t="shared" si="13"/>
        <v>57000.000000000007</v>
      </c>
      <c r="L42" s="104">
        <f t="shared" si="13"/>
        <v>7000.0000000000018</v>
      </c>
      <c r="M42" s="104">
        <f t="shared" si="13"/>
        <v>57000.000000000007</v>
      </c>
      <c r="N42" s="104">
        <f t="shared" si="13"/>
        <v>817000</v>
      </c>
      <c r="P42" s="8"/>
      <c r="Q42" s="8"/>
      <c r="R42" s="8"/>
      <c r="S42" s="5"/>
    </row>
    <row r="43" spans="1:20">
      <c r="A43" s="102" t="s">
        <v>94</v>
      </c>
      <c r="B43" s="103">
        <f>IRR(C43:N43)</f>
        <v>3.1367638628587713E-2</v>
      </c>
      <c r="C43" s="104">
        <f>-C11</f>
        <v>-199999.99999999994</v>
      </c>
      <c r="D43" s="104">
        <f>D13</f>
        <v>-750000</v>
      </c>
      <c r="E43" s="104">
        <f t="shared" ref="E43:N43" si="14">E17</f>
        <v>57000.000000000007</v>
      </c>
      <c r="F43" s="104">
        <f t="shared" si="14"/>
        <v>57000.000000000007</v>
      </c>
      <c r="G43" s="104">
        <f t="shared" si="14"/>
        <v>7000.0000000000018</v>
      </c>
      <c r="H43" s="104">
        <f t="shared" si="14"/>
        <v>57000.000000000007</v>
      </c>
      <c r="I43" s="104">
        <f t="shared" si="14"/>
        <v>57000.000000000007</v>
      </c>
      <c r="J43" s="104">
        <f t="shared" si="14"/>
        <v>57000.000000000007</v>
      </c>
      <c r="K43" s="104">
        <f t="shared" si="14"/>
        <v>57000.000000000007</v>
      </c>
      <c r="L43" s="104">
        <f t="shared" si="14"/>
        <v>7000.0000000000018</v>
      </c>
      <c r="M43" s="104">
        <f t="shared" si="14"/>
        <v>57000.000000000007</v>
      </c>
      <c r="N43" s="104">
        <f t="shared" si="14"/>
        <v>817000</v>
      </c>
      <c r="P43" s="8"/>
      <c r="Q43" s="8"/>
      <c r="R43" s="8"/>
      <c r="S43" s="5"/>
    </row>
    <row r="44" spans="1:20">
      <c r="A44" s="102"/>
      <c r="B44" s="106"/>
      <c r="C44" s="98"/>
      <c r="D44" s="98"/>
      <c r="E44" s="98"/>
      <c r="F44" s="98"/>
      <c r="G44" s="98"/>
      <c r="H44" s="98"/>
      <c r="I44" s="98"/>
      <c r="J44" s="98"/>
      <c r="K44" s="98"/>
      <c r="L44" s="98"/>
      <c r="M44" s="98"/>
      <c r="N44" s="98"/>
      <c r="P44" s="8"/>
      <c r="Q44" s="8"/>
      <c r="R44" s="8"/>
      <c r="S44" s="5"/>
    </row>
    <row r="45" spans="1:20">
      <c r="A45" s="19" t="s">
        <v>98</v>
      </c>
      <c r="B45" s="103">
        <f>IRR(D45:N45)</f>
        <v>5.4999999999999938E-2</v>
      </c>
      <c r="C45" s="104"/>
      <c r="D45" s="104">
        <f t="shared" ref="D45:N45" si="15">-D20</f>
        <v>-750000</v>
      </c>
      <c r="E45" s="104">
        <f t="shared" si="15"/>
        <v>43250</v>
      </c>
      <c r="F45" s="104">
        <f t="shared" si="15"/>
        <v>43140</v>
      </c>
      <c r="G45" s="104">
        <f t="shared" si="15"/>
        <v>43030</v>
      </c>
      <c r="H45" s="104">
        <f t="shared" si="15"/>
        <v>42920</v>
      </c>
      <c r="I45" s="104">
        <f t="shared" si="15"/>
        <v>42810</v>
      </c>
      <c r="J45" s="104">
        <f t="shared" si="15"/>
        <v>42700</v>
      </c>
      <c r="K45" s="104">
        <f t="shared" si="15"/>
        <v>42590</v>
      </c>
      <c r="L45" s="104">
        <f t="shared" si="15"/>
        <v>42480</v>
      </c>
      <c r="M45" s="104">
        <f t="shared" si="15"/>
        <v>42370</v>
      </c>
      <c r="N45" s="104">
        <f t="shared" si="15"/>
        <v>772260</v>
      </c>
      <c r="P45" s="8"/>
      <c r="Q45" s="8"/>
      <c r="R45" s="8"/>
      <c r="S45" s="5"/>
    </row>
    <row r="46" spans="1:20">
      <c r="A46" s="102"/>
      <c r="B46" s="103"/>
      <c r="C46" s="105"/>
      <c r="D46" s="104"/>
      <c r="E46" s="104"/>
      <c r="F46" s="104"/>
      <c r="G46" s="104"/>
      <c r="H46" s="104"/>
      <c r="I46" s="104"/>
      <c r="J46" s="104"/>
      <c r="K46" s="104"/>
      <c r="L46" s="104"/>
      <c r="M46" s="104"/>
      <c r="N46" s="104"/>
      <c r="P46" s="8"/>
      <c r="Q46" s="8"/>
      <c r="R46" s="8"/>
      <c r="S46" s="5"/>
    </row>
    <row r="47" spans="1:20">
      <c r="A47" s="19" t="s">
        <v>80</v>
      </c>
      <c r="B47" s="103"/>
      <c r="C47" s="105"/>
      <c r="D47" s="104"/>
      <c r="E47" s="104"/>
      <c r="F47" s="104"/>
      <c r="G47" s="104"/>
      <c r="H47" s="104"/>
      <c r="I47" s="104"/>
      <c r="J47" s="104"/>
      <c r="K47" s="104"/>
      <c r="L47" s="104"/>
      <c r="M47" s="104"/>
      <c r="N47" s="104"/>
      <c r="P47" s="8"/>
      <c r="Q47" s="8"/>
      <c r="R47" s="8"/>
      <c r="S47" s="5"/>
    </row>
    <row r="48" spans="1:20">
      <c r="A48" s="102" t="s">
        <v>92</v>
      </c>
      <c r="B48" s="103">
        <f>IRR(C48:D48)</f>
        <v>2.2204460492503131E-16</v>
      </c>
      <c r="C48" s="104">
        <f>-C11</f>
        <v>-199999.99999999994</v>
      </c>
      <c r="D48" s="104">
        <f>D13+'Pessimistic CFs'!B13</f>
        <v>200000</v>
      </c>
      <c r="E48" s="104"/>
      <c r="F48" s="104"/>
      <c r="G48" s="104"/>
      <c r="H48" s="104"/>
      <c r="I48" s="104"/>
      <c r="J48" s="104"/>
      <c r="K48" s="104"/>
      <c r="L48" s="104"/>
      <c r="M48" s="104"/>
      <c r="N48" s="104"/>
      <c r="P48" s="8"/>
      <c r="Q48" s="8"/>
      <c r="R48" s="8"/>
      <c r="S48" s="5"/>
    </row>
    <row r="49" spans="1:19" ht="13.8">
      <c r="A49" s="102" t="s">
        <v>93</v>
      </c>
      <c r="B49" s="103">
        <f>IRR(D49:N49,-0.1)</f>
        <v>-0.11735259785656849</v>
      </c>
      <c r="C49" s="105"/>
      <c r="D49" s="104">
        <f>-('Pessimistic CFs'!B13-'Pessiimistic Splits'!D14)</f>
        <v>-200000</v>
      </c>
      <c r="E49" s="104">
        <f t="shared" ref="E49:N49" si="16">E23</f>
        <v>13750.000000000007</v>
      </c>
      <c r="F49" s="104">
        <f t="shared" si="16"/>
        <v>13860.000000000007</v>
      </c>
      <c r="G49" s="104">
        <f t="shared" si="16"/>
        <v>-36030</v>
      </c>
      <c r="H49" s="104">
        <f t="shared" si="16"/>
        <v>14080.000000000007</v>
      </c>
      <c r="I49" s="104">
        <f t="shared" si="16"/>
        <v>14190.000000000007</v>
      </c>
      <c r="J49" s="104">
        <f t="shared" si="16"/>
        <v>14300.000000000007</v>
      </c>
      <c r="K49" s="104">
        <f t="shared" si="16"/>
        <v>14410.000000000007</v>
      </c>
      <c r="L49" s="104">
        <f t="shared" si="16"/>
        <v>-35480</v>
      </c>
      <c r="M49" s="104">
        <f t="shared" si="16"/>
        <v>14630.000000000007</v>
      </c>
      <c r="N49" s="104">
        <f t="shared" si="16"/>
        <v>44740.000000000007</v>
      </c>
      <c r="P49" s="40"/>
      <c r="Q49" s="8"/>
      <c r="R49" s="8"/>
      <c r="S49" s="5"/>
    </row>
    <row r="50" spans="1:19">
      <c r="A50" s="102" t="s">
        <v>94</v>
      </c>
      <c r="B50" s="103">
        <f>IRR(C50:N50,-0.1)</f>
        <v>-0.10583800708214353</v>
      </c>
      <c r="C50" s="104">
        <f>-C11</f>
        <v>-199999.99999999994</v>
      </c>
      <c r="D50" s="104">
        <f>SUM(D13:D14)</f>
        <v>0</v>
      </c>
      <c r="E50" s="104">
        <f t="shared" ref="E50:N50" si="17">E23</f>
        <v>13750.000000000007</v>
      </c>
      <c r="F50" s="104">
        <f t="shared" si="17"/>
        <v>13860.000000000007</v>
      </c>
      <c r="G50" s="104">
        <f t="shared" si="17"/>
        <v>-36030</v>
      </c>
      <c r="H50" s="104">
        <f t="shared" si="17"/>
        <v>14080.000000000007</v>
      </c>
      <c r="I50" s="104">
        <f t="shared" si="17"/>
        <v>14190.000000000007</v>
      </c>
      <c r="J50" s="104">
        <f t="shared" si="17"/>
        <v>14300.000000000007</v>
      </c>
      <c r="K50" s="104">
        <f t="shared" si="17"/>
        <v>14410.000000000007</v>
      </c>
      <c r="L50" s="104">
        <f t="shared" si="17"/>
        <v>-35480</v>
      </c>
      <c r="M50" s="104">
        <f t="shared" si="17"/>
        <v>14630.000000000007</v>
      </c>
      <c r="N50" s="104">
        <f t="shared" si="17"/>
        <v>44740.000000000007</v>
      </c>
      <c r="O50" s="108"/>
      <c r="P50" s="8"/>
      <c r="Q50" s="8"/>
      <c r="R50" s="8"/>
      <c r="S50" s="5"/>
    </row>
    <row r="51" spans="1:19">
      <c r="A51" s="102"/>
      <c r="B51" s="103"/>
      <c r="C51" s="105"/>
      <c r="D51" s="104"/>
      <c r="E51" s="104"/>
      <c r="F51" s="104"/>
      <c r="G51" s="104"/>
      <c r="H51" s="104"/>
      <c r="I51" s="104"/>
      <c r="J51" s="104"/>
      <c r="K51" s="104"/>
      <c r="L51" s="104"/>
      <c r="M51" s="104"/>
      <c r="N51" s="104"/>
      <c r="P51" s="8"/>
      <c r="Q51" s="8"/>
      <c r="R51" s="8"/>
      <c r="S51" s="5"/>
    </row>
    <row r="52" spans="1:19">
      <c r="A52" s="19" t="s">
        <v>95</v>
      </c>
      <c r="B52" s="103"/>
      <c r="C52" s="105"/>
      <c r="D52" s="104"/>
      <c r="E52" s="104"/>
      <c r="F52" s="104"/>
      <c r="G52" s="104"/>
      <c r="H52" s="104"/>
      <c r="I52" s="104"/>
      <c r="J52" s="104"/>
      <c r="K52" s="104"/>
      <c r="L52" s="104"/>
      <c r="M52" s="104"/>
      <c r="N52" s="104"/>
      <c r="P52" s="8"/>
      <c r="Q52" s="8"/>
      <c r="R52" s="8"/>
      <c r="S52" s="5"/>
    </row>
    <row r="53" spans="1:19">
      <c r="A53" s="102" t="s">
        <v>100</v>
      </c>
      <c r="B53" s="103">
        <f>IRR(C53:D53)</f>
        <v>6.0000000000000053E-2</v>
      </c>
      <c r="C53" s="104">
        <f>-C28</f>
        <v>-179999.99999999994</v>
      </c>
      <c r="D53" s="104">
        <f>MIN(D48,MAX(B3*C11*(1+B4),B3*C11*(1+B4)+(D48-B3*C11*(1+B4)-(1-B3)*C11)*B5))</f>
        <v>190799.99999999994</v>
      </c>
      <c r="E53" s="104"/>
      <c r="F53" s="104"/>
      <c r="G53" s="104"/>
      <c r="H53" s="104"/>
      <c r="I53" s="104"/>
      <c r="J53" s="104"/>
      <c r="K53" s="104"/>
      <c r="L53" s="104"/>
      <c r="M53" s="104"/>
      <c r="N53" s="104"/>
      <c r="P53" s="8"/>
      <c r="Q53" s="8"/>
      <c r="R53" s="8"/>
      <c r="S53" s="5"/>
    </row>
    <row r="54" spans="1:19">
      <c r="A54" s="102" t="s">
        <v>94</v>
      </c>
      <c r="B54" s="103">
        <f>IRR(C54:N54,0.01)</f>
        <v>-8.8493393775422979E-2</v>
      </c>
      <c r="C54" s="104">
        <f>-C28</f>
        <v>-179999.99999999994</v>
      </c>
      <c r="D54" s="104">
        <f>-D28+IF(D21+D30+D31&gt;=0,-D30-D31+$B5*(D21+D30+D31),0)</f>
        <v>0</v>
      </c>
      <c r="E54" s="104">
        <f>-E28+IF(E21+E30+E31&gt;=0,-E30-E31+$B5*(E21+E30+E31),0)</f>
        <v>13750.000000000007</v>
      </c>
      <c r="F54" s="104">
        <f t="shared" ref="F54:M54" si="18">-F28+IF(F21+F30+F31&gt;=0,-F30-F31+$B5*(F21+F30+F31),0)</f>
        <v>13860.000000000007</v>
      </c>
      <c r="G54" s="104">
        <f t="shared" si="18"/>
        <v>-32427</v>
      </c>
      <c r="H54" s="104">
        <f t="shared" si="18"/>
        <v>14080.000000000007</v>
      </c>
      <c r="I54" s="104">
        <f t="shared" si="18"/>
        <v>14190.000000000007</v>
      </c>
      <c r="J54" s="104">
        <f t="shared" si="18"/>
        <v>14300.000000000007</v>
      </c>
      <c r="K54" s="104">
        <f t="shared" si="18"/>
        <v>14410.000000000007</v>
      </c>
      <c r="L54" s="104">
        <f t="shared" si="18"/>
        <v>-31932</v>
      </c>
      <c r="M54" s="104">
        <f t="shared" si="18"/>
        <v>14630.000000000007</v>
      </c>
      <c r="N54" s="104">
        <f>-N28+IF(N21+N30+N31&gt;=0,-N30-N31+$B5*(N21+N30+N31),0)-N35+IF(N22+N35+N36&gt;=0,$B5*(N22+N35+N36))</f>
        <v>44740.000000000007</v>
      </c>
      <c r="P54" s="39"/>
      <c r="Q54" s="8"/>
      <c r="R54" s="8"/>
      <c r="S54" s="5"/>
    </row>
    <row r="55" spans="1:19">
      <c r="A55" s="102"/>
      <c r="B55" s="103"/>
      <c r="C55" s="104"/>
      <c r="D55" s="104"/>
      <c r="E55" s="104"/>
      <c r="F55" s="104"/>
      <c r="G55" s="104"/>
      <c r="H55" s="104"/>
      <c r="I55" s="104"/>
      <c r="J55" s="104"/>
      <c r="K55" s="104"/>
      <c r="L55" s="104"/>
      <c r="M55" s="104"/>
      <c r="N55" s="104"/>
      <c r="P55" s="39"/>
      <c r="Q55" s="8"/>
      <c r="R55" s="8"/>
      <c r="S55" s="5"/>
    </row>
    <row r="56" spans="1:19" ht="13.8">
      <c r="A56" s="19" t="s">
        <v>96</v>
      </c>
      <c r="B56" s="103"/>
      <c r="C56" s="104"/>
      <c r="D56" s="104"/>
      <c r="E56" s="104"/>
      <c r="F56" s="104"/>
      <c r="G56" s="104"/>
      <c r="H56" s="104"/>
      <c r="I56" s="104"/>
      <c r="J56" s="104"/>
      <c r="K56" s="104"/>
      <c r="L56" s="104"/>
      <c r="M56" s="104"/>
      <c r="N56" s="104"/>
      <c r="P56" s="40"/>
      <c r="R56" s="8"/>
      <c r="S56" s="5"/>
    </row>
    <row r="57" spans="1:19">
      <c r="A57" s="102" t="s">
        <v>100</v>
      </c>
      <c r="B57" s="103">
        <f>IRR(C57:D57,-0.1)</f>
        <v>-0.53999999999999693</v>
      </c>
      <c r="C57" s="104">
        <f>-(C11-C28)</f>
        <v>-20000</v>
      </c>
      <c r="D57" s="104">
        <f>D48-D53</f>
        <v>9200.0000000000582</v>
      </c>
      <c r="E57" s="104"/>
      <c r="F57" s="104"/>
      <c r="G57" s="104"/>
      <c r="H57" s="104"/>
      <c r="I57" s="104"/>
      <c r="J57" s="104"/>
      <c r="K57" s="104"/>
      <c r="L57" s="104"/>
      <c r="M57" s="104"/>
      <c r="N57" s="104"/>
      <c r="P57" s="39"/>
      <c r="Q57" s="8"/>
      <c r="R57" s="8"/>
      <c r="S57" s="5"/>
    </row>
    <row r="58" spans="1:19">
      <c r="A58" s="102" t="s">
        <v>94</v>
      </c>
      <c r="B58" s="103">
        <f>-1</f>
        <v>-1</v>
      </c>
      <c r="C58" s="104">
        <f>-(C11-C28)</f>
        <v>-20000</v>
      </c>
      <c r="D58" s="104">
        <f t="shared" ref="D58:N58" si="19">D50-D54</f>
        <v>0</v>
      </c>
      <c r="E58" s="104">
        <f t="shared" si="19"/>
        <v>0</v>
      </c>
      <c r="F58" s="104">
        <f t="shared" si="19"/>
        <v>0</v>
      </c>
      <c r="G58" s="104">
        <f t="shared" si="19"/>
        <v>-3603</v>
      </c>
      <c r="H58" s="104">
        <f t="shared" si="19"/>
        <v>0</v>
      </c>
      <c r="I58" s="104">
        <f t="shared" si="19"/>
        <v>0</v>
      </c>
      <c r="J58" s="104">
        <f t="shared" si="19"/>
        <v>0</v>
      </c>
      <c r="K58" s="104">
        <f t="shared" si="19"/>
        <v>0</v>
      </c>
      <c r="L58" s="104">
        <f t="shared" si="19"/>
        <v>-3548</v>
      </c>
      <c r="M58" s="104">
        <f t="shared" si="19"/>
        <v>0</v>
      </c>
      <c r="N58" s="104">
        <f t="shared" si="19"/>
        <v>0</v>
      </c>
      <c r="P58" s="39"/>
      <c r="Q58" s="8"/>
      <c r="R58" s="8"/>
      <c r="S58" s="5"/>
    </row>
    <row r="59" spans="1:19">
      <c r="A59" s="3"/>
      <c r="B59" s="4"/>
      <c r="C59" s="9"/>
      <c r="D59" s="4"/>
      <c r="E59" s="8"/>
      <c r="F59" s="8"/>
      <c r="G59" s="8"/>
      <c r="H59" s="8"/>
      <c r="I59" s="8"/>
      <c r="J59" s="8"/>
      <c r="K59" s="8"/>
      <c r="L59" s="8"/>
      <c r="M59" s="8"/>
      <c r="N59" s="8"/>
      <c r="O59" s="8"/>
      <c r="P59" s="8"/>
      <c r="Q59" s="8"/>
      <c r="R59" s="8"/>
      <c r="S59" s="5"/>
    </row>
    <row r="60" spans="1:19">
      <c r="A60" s="3" t="s">
        <v>79</v>
      </c>
      <c r="B60" s="4"/>
      <c r="C60" s="9"/>
      <c r="D60" s="4"/>
      <c r="E60" s="8"/>
      <c r="F60" s="8"/>
      <c r="G60" s="8"/>
      <c r="H60" s="8"/>
      <c r="I60" s="8"/>
      <c r="J60" s="8"/>
      <c r="K60" s="8"/>
      <c r="L60" s="8"/>
      <c r="M60" s="8"/>
      <c r="N60" s="8"/>
      <c r="O60" s="8"/>
      <c r="P60" s="8"/>
      <c r="Q60" s="8"/>
      <c r="R60" s="8"/>
      <c r="S60" s="5"/>
    </row>
    <row r="61" spans="1:19">
      <c r="A61" s="4" t="s">
        <v>81</v>
      </c>
      <c r="B61" s="4"/>
      <c r="C61" s="9"/>
      <c r="D61" s="4"/>
      <c r="E61" s="8"/>
      <c r="F61" s="8"/>
      <c r="G61" s="8"/>
      <c r="H61" s="8"/>
      <c r="I61" s="8"/>
      <c r="J61" s="8"/>
      <c r="K61" s="8"/>
      <c r="L61" s="8"/>
      <c r="M61" s="8"/>
      <c r="N61" s="8"/>
      <c r="O61" s="8"/>
      <c r="P61" s="8"/>
      <c r="Q61" s="8"/>
      <c r="R61" s="8"/>
      <c r="S61" s="5"/>
    </row>
    <row r="62" spans="1:19">
      <c r="A62" s="128" t="s">
        <v>199</v>
      </c>
      <c r="B62" s="4"/>
      <c r="C62" s="9"/>
      <c r="D62" s="4"/>
      <c r="E62" s="8"/>
      <c r="F62" s="8"/>
      <c r="G62" s="8"/>
      <c r="H62" s="8"/>
      <c r="I62" s="8"/>
      <c r="J62" s="8"/>
      <c r="K62" s="8"/>
      <c r="L62" s="8"/>
      <c r="M62" s="8"/>
      <c r="N62" s="8"/>
      <c r="O62" s="8"/>
      <c r="P62" s="8"/>
      <c r="Q62" s="8"/>
      <c r="R62" s="8"/>
      <c r="S62" s="5"/>
    </row>
    <row r="63" spans="1:19">
      <c r="A63" s="4"/>
      <c r="B63" s="4"/>
      <c r="C63" s="34"/>
      <c r="D63" s="4"/>
      <c r="E63" s="8"/>
      <c r="F63" s="8"/>
      <c r="G63" s="8"/>
      <c r="H63" s="8"/>
      <c r="I63" s="8"/>
      <c r="J63" s="8"/>
      <c r="K63" s="8"/>
      <c r="L63" s="8"/>
      <c r="M63" s="8"/>
      <c r="N63" s="8"/>
      <c r="O63" s="8"/>
      <c r="P63" s="8"/>
      <c r="Q63" s="8"/>
      <c r="R63" s="8"/>
      <c r="S63" s="5"/>
    </row>
    <row r="64" spans="1:19">
      <c r="A64" s="6"/>
      <c r="B64" s="4"/>
      <c r="C64" s="34"/>
      <c r="D64" s="8"/>
      <c r="E64" s="8"/>
      <c r="F64" s="8"/>
      <c r="G64" s="8"/>
      <c r="H64" s="16"/>
      <c r="I64" s="8"/>
      <c r="J64" s="8"/>
      <c r="K64" s="8"/>
      <c r="L64" s="8"/>
      <c r="M64" s="8"/>
      <c r="N64" s="8"/>
      <c r="O64" s="8"/>
      <c r="P64" s="8"/>
      <c r="Q64" s="8"/>
      <c r="R64" s="8"/>
      <c r="S64" s="5"/>
    </row>
    <row r="65" spans="1:19">
      <c r="A65" s="6"/>
      <c r="B65" s="4"/>
      <c r="C65" s="34"/>
      <c r="D65" s="8"/>
      <c r="E65" s="8"/>
      <c r="F65" s="8"/>
      <c r="G65" s="8"/>
      <c r="H65" s="8"/>
      <c r="I65" s="8"/>
      <c r="J65" s="8"/>
      <c r="K65" s="8"/>
      <c r="L65" s="8"/>
      <c r="M65" s="8"/>
      <c r="N65" s="8"/>
      <c r="O65" s="8"/>
      <c r="P65" s="8"/>
      <c r="Q65" s="8"/>
      <c r="R65" s="8"/>
      <c r="S65" s="5"/>
    </row>
    <row r="66" spans="1:19">
      <c r="A66" s="6"/>
      <c r="B66" s="4"/>
      <c r="C66" s="34"/>
      <c r="D66" s="8"/>
      <c r="E66" s="8"/>
      <c r="F66" s="8"/>
      <c r="G66" s="8"/>
      <c r="H66" s="8"/>
      <c r="I66" s="8"/>
      <c r="J66" s="8"/>
      <c r="K66" s="8"/>
      <c r="L66" s="8"/>
      <c r="M66" s="8"/>
      <c r="N66" s="8"/>
      <c r="O66" s="8"/>
      <c r="P66" s="8"/>
      <c r="Q66" s="8"/>
      <c r="R66" s="8"/>
      <c r="S66" s="5"/>
    </row>
    <row r="67" spans="1:19">
      <c r="A67" s="6"/>
      <c r="B67" s="4"/>
      <c r="C67" s="9"/>
      <c r="D67" s="4"/>
      <c r="E67" s="16"/>
      <c r="F67" s="16"/>
      <c r="G67" s="16"/>
      <c r="H67" s="16"/>
      <c r="I67" s="16"/>
      <c r="J67" s="16"/>
      <c r="K67" s="16"/>
      <c r="L67" s="16"/>
      <c r="M67" s="16"/>
      <c r="N67" s="16"/>
      <c r="O67" s="16"/>
      <c r="P67" s="16"/>
      <c r="Q67" s="16"/>
      <c r="R67" s="8"/>
      <c r="S67" s="5"/>
    </row>
    <row r="68" spans="1:19">
      <c r="A68" s="6"/>
      <c r="B68" s="4"/>
      <c r="C68" s="9"/>
      <c r="D68" s="4"/>
      <c r="E68" s="16"/>
      <c r="F68" s="16"/>
      <c r="G68" s="16"/>
      <c r="H68" s="16"/>
      <c r="I68" s="16"/>
      <c r="J68" s="16"/>
      <c r="K68" s="16"/>
      <c r="L68" s="16"/>
      <c r="M68" s="16"/>
      <c r="N68" s="16"/>
      <c r="O68" s="16"/>
      <c r="P68" s="16"/>
      <c r="Q68" s="16"/>
      <c r="R68" s="8"/>
      <c r="S68" s="5"/>
    </row>
    <row r="69" spans="1:19">
      <c r="A69" s="6"/>
      <c r="B69" s="4"/>
      <c r="C69" s="9"/>
      <c r="D69" s="4"/>
      <c r="E69" s="8"/>
      <c r="F69" s="8"/>
      <c r="G69" s="8"/>
      <c r="H69" s="8"/>
      <c r="I69" s="8"/>
      <c r="J69" s="8"/>
      <c r="K69" s="8"/>
      <c r="L69" s="8"/>
      <c r="M69" s="8"/>
      <c r="N69" s="8"/>
      <c r="O69" s="8"/>
      <c r="P69" s="8"/>
      <c r="Q69" s="8"/>
      <c r="R69" s="8"/>
      <c r="S69" s="5"/>
    </row>
    <row r="70" spans="1:19">
      <c r="A70" s="4"/>
      <c r="B70" s="4"/>
      <c r="C70" s="9"/>
      <c r="D70" s="4"/>
      <c r="E70" s="7"/>
      <c r="F70" s="4"/>
      <c r="G70" s="4"/>
      <c r="H70" s="8"/>
      <c r="I70" s="4"/>
      <c r="J70" s="4"/>
      <c r="K70" s="4"/>
      <c r="L70" s="4"/>
      <c r="M70" s="4"/>
      <c r="N70" s="4"/>
      <c r="O70" s="4"/>
      <c r="P70" s="4"/>
      <c r="Q70" s="4"/>
      <c r="R70" s="4"/>
      <c r="S70" s="5"/>
    </row>
    <row r="71" spans="1:19">
      <c r="A71" s="4"/>
      <c r="B71" s="4"/>
      <c r="C71" s="9"/>
      <c r="D71" s="4"/>
      <c r="E71" s="4"/>
      <c r="F71" s="4"/>
      <c r="G71" s="4"/>
      <c r="H71" s="8"/>
      <c r="I71" s="4"/>
      <c r="J71" s="4"/>
      <c r="K71" s="4"/>
      <c r="L71" s="4"/>
      <c r="M71" s="4"/>
      <c r="N71" s="4"/>
      <c r="O71" s="4"/>
      <c r="P71" s="4"/>
      <c r="Q71" s="4"/>
      <c r="R71" s="4"/>
    </row>
    <row r="72" spans="1:19">
      <c r="A72" s="4"/>
      <c r="B72" s="4"/>
      <c r="C72" s="9"/>
      <c r="D72" s="4"/>
      <c r="E72" s="8"/>
      <c r="F72" s="4"/>
      <c r="G72" s="4"/>
      <c r="H72" s="8"/>
      <c r="I72" s="4"/>
      <c r="J72" s="4"/>
      <c r="K72" s="4"/>
      <c r="L72" s="4"/>
      <c r="M72" s="4"/>
      <c r="N72" s="4"/>
      <c r="O72" s="4"/>
      <c r="P72" s="4"/>
      <c r="Q72" s="4"/>
      <c r="R72" s="4"/>
    </row>
    <row r="73" spans="1:19">
      <c r="A73" s="4"/>
      <c r="B73" s="4"/>
      <c r="C73" s="9"/>
      <c r="D73" s="4"/>
      <c r="E73" s="8"/>
      <c r="F73" s="4"/>
      <c r="G73" s="4"/>
      <c r="H73" s="8"/>
      <c r="I73" s="4"/>
      <c r="J73" s="4"/>
      <c r="K73" s="4"/>
      <c r="L73" s="4"/>
      <c r="M73" s="4"/>
      <c r="N73" s="4"/>
      <c r="O73" s="4"/>
      <c r="P73" s="4"/>
      <c r="Q73" s="4"/>
      <c r="R73" s="4"/>
    </row>
    <row r="74" spans="1:19">
      <c r="A74" s="4"/>
      <c r="B74" s="4"/>
      <c r="C74" s="34"/>
      <c r="D74" s="4"/>
      <c r="E74" s="4"/>
      <c r="F74" s="4"/>
      <c r="G74" s="4"/>
      <c r="H74" s="4"/>
      <c r="I74" s="4"/>
      <c r="J74" s="4"/>
      <c r="K74" s="4"/>
      <c r="L74" s="4"/>
      <c r="M74" s="4"/>
      <c r="N74" s="4"/>
      <c r="O74" s="4"/>
      <c r="P74" s="4"/>
      <c r="Q74" s="4"/>
      <c r="R74" s="4"/>
    </row>
    <row r="75" spans="1:19">
      <c r="A75" s="6"/>
      <c r="B75" s="4"/>
      <c r="C75" s="34"/>
      <c r="D75" s="8"/>
      <c r="E75" s="8"/>
      <c r="F75" s="8"/>
      <c r="G75" s="8"/>
      <c r="H75" s="8"/>
      <c r="I75" s="4"/>
      <c r="J75" s="4"/>
      <c r="K75" s="4"/>
      <c r="L75" s="4"/>
      <c r="M75" s="4"/>
      <c r="N75" s="4"/>
      <c r="O75" s="4"/>
      <c r="P75" s="4"/>
      <c r="Q75" s="4"/>
      <c r="R75" s="4"/>
    </row>
    <row r="76" spans="1:19">
      <c r="A76" s="6"/>
      <c r="B76" s="4"/>
      <c r="C76" s="34"/>
      <c r="D76" s="8"/>
      <c r="E76" s="8"/>
      <c r="F76" s="8"/>
      <c r="G76" s="8"/>
      <c r="H76" s="8"/>
      <c r="I76" s="4"/>
      <c r="J76" s="4"/>
      <c r="K76" s="4"/>
      <c r="L76" s="4"/>
      <c r="M76" s="4"/>
      <c r="N76" s="4"/>
      <c r="O76" s="4"/>
      <c r="P76" s="4"/>
      <c r="Q76" s="4"/>
      <c r="R76" s="4"/>
    </row>
    <row r="77" spans="1:19">
      <c r="A77" s="6"/>
      <c r="B77" s="4"/>
      <c r="C77" s="34"/>
      <c r="D77" s="8"/>
      <c r="E77" s="8"/>
      <c r="F77" s="8"/>
      <c r="G77" s="8"/>
      <c r="H77" s="8"/>
      <c r="I77" s="4"/>
      <c r="J77" s="4"/>
      <c r="K77" s="4"/>
      <c r="L77" s="4"/>
      <c r="M77" s="4"/>
      <c r="N77" s="4"/>
      <c r="O77" s="4"/>
      <c r="P77" s="4"/>
      <c r="Q77" s="4"/>
      <c r="R77" s="4"/>
    </row>
    <row r="78" spans="1:19">
      <c r="A78" s="6"/>
      <c r="B78" s="4"/>
      <c r="C78" s="9"/>
      <c r="D78" s="4"/>
      <c r="E78" s="8"/>
      <c r="F78" s="4"/>
      <c r="G78" s="4"/>
      <c r="H78" s="8"/>
      <c r="I78" s="4"/>
      <c r="J78" s="4"/>
      <c r="K78" s="4"/>
      <c r="L78" s="4"/>
      <c r="M78" s="4"/>
      <c r="N78" s="4"/>
      <c r="O78" s="4"/>
      <c r="P78" s="4"/>
      <c r="Q78" s="4"/>
      <c r="R78" s="4"/>
    </row>
    <row r="79" spans="1:19">
      <c r="A79" s="4"/>
      <c r="B79" s="4"/>
      <c r="C79" s="9"/>
      <c r="D79" s="4"/>
      <c r="E79" s="4"/>
      <c r="F79" s="4"/>
      <c r="G79" s="4"/>
      <c r="H79" s="4"/>
      <c r="I79" s="4"/>
      <c r="J79" s="4"/>
      <c r="K79" s="4"/>
      <c r="L79" s="4"/>
      <c r="M79" s="4"/>
      <c r="N79" s="4"/>
      <c r="O79" s="4"/>
      <c r="P79" s="4"/>
      <c r="Q79" s="4"/>
      <c r="R79" s="4"/>
    </row>
    <row r="80" spans="1:19">
      <c r="A80" s="4"/>
      <c r="B80" s="4"/>
      <c r="C80" s="9"/>
      <c r="D80" s="4"/>
      <c r="E80" s="4"/>
      <c r="F80" s="4"/>
      <c r="G80" s="4"/>
      <c r="H80" s="4"/>
      <c r="I80" s="4"/>
      <c r="J80" s="4"/>
      <c r="K80" s="4"/>
      <c r="L80" s="4"/>
      <c r="M80" s="4"/>
      <c r="N80" s="4"/>
      <c r="O80" s="4"/>
      <c r="P80" s="4"/>
      <c r="Q80" s="4"/>
      <c r="R80" s="4"/>
    </row>
    <row r="81" spans="1:18">
      <c r="A81" s="4"/>
      <c r="B81" s="4"/>
      <c r="C81" s="9"/>
      <c r="D81" s="4"/>
      <c r="E81" s="4"/>
      <c r="F81" s="4"/>
      <c r="G81" s="4"/>
      <c r="H81" s="4"/>
      <c r="I81" s="4"/>
      <c r="J81" s="4"/>
      <c r="K81" s="4"/>
      <c r="L81" s="4"/>
      <c r="M81" s="4"/>
      <c r="N81" s="4"/>
      <c r="O81" s="4"/>
      <c r="P81" s="4"/>
      <c r="Q81" s="4"/>
      <c r="R81" s="4"/>
    </row>
    <row r="82" spans="1:18">
      <c r="A82" s="4"/>
      <c r="B82" s="4"/>
      <c r="C82" s="9"/>
      <c r="D82" s="4"/>
      <c r="E82" s="4"/>
      <c r="F82" s="4"/>
      <c r="G82" s="4"/>
      <c r="H82" s="4"/>
      <c r="I82" s="4"/>
      <c r="J82" s="4"/>
      <c r="K82" s="4"/>
      <c r="L82" s="4"/>
      <c r="M82" s="4"/>
      <c r="N82" s="4"/>
      <c r="O82" s="4"/>
      <c r="P82" s="4"/>
      <c r="Q82" s="4"/>
      <c r="R82" s="4"/>
    </row>
    <row r="83" spans="1:18">
      <c r="A83" s="4"/>
      <c r="B83" s="4"/>
      <c r="C83" s="9"/>
      <c r="D83" s="4"/>
      <c r="E83" s="4"/>
      <c r="F83" s="4"/>
      <c r="G83" s="4"/>
      <c r="H83" s="4"/>
      <c r="I83" s="4"/>
      <c r="J83" s="4"/>
      <c r="K83" s="4"/>
      <c r="L83" s="4"/>
      <c r="M83" s="4"/>
      <c r="N83" s="4"/>
      <c r="O83" s="4"/>
      <c r="P83" s="4"/>
      <c r="Q83" s="4"/>
      <c r="R83" s="4"/>
    </row>
    <row r="84" spans="1:18">
      <c r="A84" s="4"/>
      <c r="B84" s="4"/>
      <c r="C84" s="9"/>
      <c r="D84" s="4"/>
      <c r="E84" s="4"/>
      <c r="F84" s="4"/>
      <c r="G84" s="4"/>
      <c r="H84" s="4"/>
      <c r="I84" s="4"/>
      <c r="J84" s="4"/>
      <c r="K84" s="4"/>
      <c r="L84" s="4"/>
      <c r="M84" s="4"/>
      <c r="N84" s="4"/>
      <c r="O84" s="4"/>
      <c r="P84" s="4"/>
      <c r="Q84" s="4"/>
      <c r="R84" s="4"/>
    </row>
    <row r="85" spans="1:18">
      <c r="A85" s="4"/>
      <c r="B85" s="4"/>
      <c r="C85" s="9"/>
      <c r="D85" s="4"/>
      <c r="E85" s="4"/>
      <c r="F85" s="4"/>
      <c r="G85" s="4"/>
      <c r="H85" s="4"/>
      <c r="I85" s="4"/>
      <c r="J85" s="4"/>
      <c r="K85" s="4"/>
      <c r="L85" s="4"/>
      <c r="M85" s="4"/>
      <c r="N85" s="4"/>
      <c r="O85" s="4"/>
      <c r="P85" s="4"/>
      <c r="Q85" s="4"/>
      <c r="R85" s="4"/>
    </row>
    <row r="86" spans="1:18">
      <c r="A86" s="4"/>
      <c r="B86" s="4"/>
      <c r="C86" s="9"/>
      <c r="D86" s="4"/>
      <c r="E86" s="4"/>
      <c r="F86" s="4"/>
      <c r="G86" s="4"/>
      <c r="H86" s="4"/>
      <c r="I86" s="4"/>
      <c r="J86" s="4"/>
      <c r="K86" s="4"/>
      <c r="L86" s="4"/>
      <c r="M86" s="4"/>
      <c r="N86" s="4"/>
      <c r="O86" s="4"/>
      <c r="P86" s="4"/>
      <c r="Q86" s="4"/>
      <c r="R86" s="4"/>
    </row>
    <row r="87" spans="1:18">
      <c r="A87" s="4"/>
      <c r="B87" s="4"/>
      <c r="C87" s="9"/>
      <c r="D87" s="4"/>
      <c r="E87" s="4"/>
      <c r="F87" s="4"/>
      <c r="G87" s="4"/>
      <c r="H87" s="4"/>
      <c r="I87" s="4"/>
      <c r="J87" s="4"/>
      <c r="K87" s="4"/>
      <c r="L87" s="4"/>
      <c r="M87" s="4"/>
      <c r="N87" s="4"/>
      <c r="O87" s="4"/>
      <c r="P87" s="4"/>
      <c r="Q87" s="4"/>
      <c r="R87" s="4"/>
    </row>
    <row r="88" spans="1:18">
      <c r="A88" s="4"/>
      <c r="B88" s="4"/>
      <c r="C88" s="9"/>
      <c r="D88" s="4"/>
      <c r="E88" s="4"/>
      <c r="F88" s="4"/>
      <c r="G88" s="4"/>
      <c r="H88" s="4"/>
      <c r="I88" s="4"/>
      <c r="J88" s="4"/>
      <c r="K88" s="4"/>
      <c r="L88" s="4"/>
      <c r="M88" s="4"/>
      <c r="N88" s="4"/>
      <c r="O88" s="4"/>
      <c r="P88" s="4"/>
      <c r="Q88" s="4"/>
      <c r="R88" s="4"/>
    </row>
    <row r="89" spans="1:18">
      <c r="A89" s="4"/>
      <c r="B89" s="4"/>
      <c r="C89" s="9"/>
      <c r="D89" s="4"/>
      <c r="E89" s="4"/>
      <c r="F89" s="4"/>
      <c r="G89" s="4"/>
      <c r="H89" s="4"/>
      <c r="I89" s="4"/>
      <c r="J89" s="4"/>
      <c r="K89" s="4"/>
      <c r="L89" s="4"/>
      <c r="M89" s="4"/>
      <c r="N89" s="4"/>
      <c r="O89" s="4"/>
      <c r="P89" s="4"/>
      <c r="Q89" s="4"/>
      <c r="R89" s="4"/>
    </row>
    <row r="90" spans="1:18">
      <c r="A90" s="4"/>
      <c r="B90" s="4"/>
      <c r="C90" s="9"/>
      <c r="D90" s="4"/>
      <c r="E90" s="4"/>
      <c r="F90" s="4"/>
      <c r="G90" s="4"/>
      <c r="H90" s="4"/>
      <c r="I90" s="4"/>
      <c r="J90" s="4"/>
      <c r="K90" s="4"/>
      <c r="L90" s="4"/>
      <c r="M90" s="4"/>
      <c r="N90" s="4"/>
      <c r="O90" s="4"/>
      <c r="P90" s="4"/>
      <c r="Q90" s="4"/>
      <c r="R90" s="4"/>
    </row>
    <row r="91" spans="1:18">
      <c r="A91" s="4"/>
      <c r="B91" s="4"/>
      <c r="C91" s="9"/>
      <c r="D91" s="4"/>
      <c r="E91" s="4"/>
      <c r="F91" s="4"/>
      <c r="G91" s="4"/>
      <c r="H91" s="4"/>
      <c r="I91" s="4"/>
      <c r="J91" s="4"/>
      <c r="K91" s="4"/>
      <c r="L91" s="4"/>
      <c r="M91" s="4"/>
      <c r="N91" s="4"/>
      <c r="O91" s="4"/>
      <c r="P91" s="4"/>
      <c r="Q91" s="4"/>
      <c r="R91" s="4"/>
    </row>
    <row r="92" spans="1:18">
      <c r="A92" s="4"/>
      <c r="B92" s="4"/>
      <c r="C92" s="9"/>
      <c r="D92" s="4"/>
      <c r="E92" s="4"/>
      <c r="F92" s="4"/>
      <c r="G92" s="4"/>
      <c r="H92" s="4"/>
      <c r="I92" s="4"/>
      <c r="J92" s="4"/>
      <c r="K92" s="4"/>
      <c r="L92" s="4"/>
      <c r="M92" s="4"/>
      <c r="N92" s="4"/>
      <c r="O92" s="4"/>
      <c r="P92" s="4"/>
      <c r="Q92" s="4"/>
      <c r="R92" s="4"/>
    </row>
    <row r="93" spans="1:18">
      <c r="A93" s="4"/>
      <c r="B93" s="4"/>
      <c r="C93" s="9"/>
      <c r="D93" s="4"/>
      <c r="E93" s="4"/>
      <c r="F93" s="4"/>
      <c r="G93" s="4"/>
      <c r="H93" s="4"/>
      <c r="I93" s="4"/>
      <c r="J93" s="4"/>
      <c r="K93" s="4"/>
      <c r="L93" s="4"/>
      <c r="M93" s="4"/>
      <c r="N93" s="4"/>
      <c r="O93" s="4"/>
      <c r="P93" s="4"/>
      <c r="Q93" s="4"/>
      <c r="R93" s="4"/>
    </row>
    <row r="94" spans="1:18">
      <c r="A94" s="4"/>
      <c r="B94" s="4"/>
      <c r="C94" s="9"/>
      <c r="D94" s="4"/>
      <c r="E94" s="4"/>
      <c r="F94" s="4"/>
      <c r="G94" s="4"/>
      <c r="H94" s="4"/>
      <c r="I94" s="4"/>
      <c r="J94" s="4"/>
      <c r="K94" s="4"/>
      <c r="L94" s="4"/>
      <c r="M94" s="4"/>
      <c r="N94" s="4"/>
      <c r="O94" s="4"/>
      <c r="P94" s="4"/>
      <c r="Q94" s="4"/>
      <c r="R94" s="4"/>
    </row>
    <row r="95" spans="1:18">
      <c r="A95" s="4"/>
      <c r="B95" s="4"/>
      <c r="C95" s="9"/>
      <c r="D95" s="4"/>
      <c r="E95" s="4"/>
      <c r="F95" s="4"/>
      <c r="G95" s="4"/>
      <c r="H95" s="4"/>
      <c r="I95" s="4"/>
      <c r="J95" s="4"/>
      <c r="K95" s="4"/>
      <c r="L95" s="4"/>
      <c r="M95" s="4"/>
      <c r="N95" s="4"/>
      <c r="O95" s="4"/>
      <c r="P95" s="4"/>
      <c r="Q95" s="4"/>
      <c r="R95" s="4"/>
    </row>
    <row r="96" spans="1:18">
      <c r="A96" s="4"/>
      <c r="B96" s="4"/>
      <c r="C96" s="9"/>
      <c r="D96" s="4"/>
      <c r="E96" s="4"/>
      <c r="F96" s="4"/>
      <c r="G96" s="4"/>
      <c r="H96" s="4"/>
      <c r="I96" s="4"/>
      <c r="J96" s="4"/>
      <c r="K96" s="4"/>
      <c r="L96" s="4"/>
      <c r="M96" s="4"/>
      <c r="N96" s="4"/>
      <c r="O96" s="4"/>
      <c r="P96" s="4"/>
      <c r="Q96" s="4"/>
      <c r="R96" s="4"/>
    </row>
    <row r="97" spans="1:18">
      <c r="A97" s="4"/>
      <c r="B97" s="4"/>
      <c r="C97" s="9"/>
      <c r="D97" s="4"/>
      <c r="E97" s="4"/>
      <c r="F97" s="4"/>
      <c r="G97" s="4"/>
      <c r="H97" s="4"/>
      <c r="I97" s="4"/>
      <c r="J97" s="4"/>
      <c r="K97" s="4"/>
      <c r="L97" s="4"/>
      <c r="M97" s="4"/>
      <c r="N97" s="4"/>
      <c r="O97" s="4"/>
      <c r="P97" s="4"/>
      <c r="Q97" s="4"/>
      <c r="R97" s="4"/>
    </row>
    <row r="98" spans="1:18">
      <c r="A98" s="4"/>
      <c r="B98" s="4"/>
      <c r="C98" s="9"/>
      <c r="D98" s="4"/>
      <c r="E98" s="4"/>
      <c r="F98" s="4"/>
      <c r="G98" s="4"/>
      <c r="H98" s="4"/>
      <c r="I98" s="4"/>
      <c r="J98" s="4"/>
      <c r="K98" s="4"/>
      <c r="L98" s="4"/>
      <c r="M98" s="4"/>
      <c r="N98" s="4"/>
      <c r="O98" s="4"/>
      <c r="P98" s="4"/>
      <c r="Q98" s="4"/>
      <c r="R98" s="4"/>
    </row>
    <row r="99" spans="1:18">
      <c r="A99" s="4"/>
      <c r="B99" s="4"/>
      <c r="C99" s="9"/>
      <c r="D99" s="4"/>
      <c r="E99" s="4"/>
      <c r="F99" s="4"/>
      <c r="G99" s="4"/>
      <c r="H99" s="4"/>
      <c r="I99" s="4"/>
      <c r="J99" s="4"/>
      <c r="K99" s="4"/>
      <c r="L99" s="4"/>
      <c r="M99" s="4"/>
      <c r="N99" s="4"/>
      <c r="O99" s="4"/>
      <c r="P99" s="4"/>
      <c r="Q99" s="4"/>
      <c r="R99" s="4"/>
    </row>
    <row r="100" spans="1:18">
      <c r="A100" s="4"/>
      <c r="B100" s="4"/>
      <c r="C100" s="9"/>
      <c r="D100" s="4"/>
      <c r="E100" s="4"/>
      <c r="F100" s="4"/>
      <c r="G100" s="4"/>
      <c r="H100" s="4"/>
      <c r="I100" s="4"/>
      <c r="J100" s="4"/>
      <c r="K100" s="4"/>
      <c r="L100" s="4"/>
      <c r="M100" s="4"/>
      <c r="N100" s="4"/>
      <c r="O100" s="4"/>
      <c r="P100" s="4"/>
      <c r="Q100" s="4"/>
      <c r="R100" s="4"/>
    </row>
    <row r="101" spans="1:18">
      <c r="A101" s="4"/>
      <c r="B101" s="4"/>
      <c r="C101" s="9"/>
      <c r="D101" s="4"/>
      <c r="E101" s="4"/>
      <c r="F101" s="4"/>
      <c r="G101" s="4"/>
      <c r="H101" s="4"/>
      <c r="I101" s="4"/>
      <c r="J101" s="4"/>
      <c r="K101" s="4"/>
      <c r="L101" s="4"/>
      <c r="M101" s="4"/>
      <c r="N101" s="4"/>
      <c r="O101" s="4"/>
      <c r="P101" s="4"/>
      <c r="Q101" s="4"/>
      <c r="R101" s="4"/>
    </row>
    <row r="102" spans="1:18">
      <c r="A102" s="4"/>
      <c r="B102" s="4"/>
      <c r="C102" s="9"/>
      <c r="D102" s="4"/>
      <c r="E102" s="4"/>
      <c r="F102" s="4"/>
      <c r="G102" s="4"/>
      <c r="H102" s="4"/>
      <c r="I102" s="4"/>
      <c r="J102" s="4"/>
      <c r="K102" s="4"/>
      <c r="L102" s="4"/>
      <c r="M102" s="4"/>
      <c r="N102" s="4"/>
      <c r="O102" s="4"/>
      <c r="P102" s="4"/>
      <c r="Q102" s="4"/>
      <c r="R102" s="4"/>
    </row>
    <row r="103" spans="1:18">
      <c r="A103" s="4"/>
      <c r="B103" s="4"/>
      <c r="C103" s="9"/>
      <c r="D103" s="4"/>
      <c r="E103" s="4"/>
      <c r="F103" s="4"/>
      <c r="G103" s="4"/>
      <c r="H103" s="4"/>
      <c r="I103" s="4"/>
      <c r="J103" s="4"/>
      <c r="K103" s="4"/>
      <c r="L103" s="4"/>
      <c r="M103" s="4"/>
      <c r="N103" s="4"/>
      <c r="O103" s="4"/>
      <c r="P103" s="4"/>
      <c r="Q103" s="4"/>
      <c r="R103" s="4"/>
    </row>
    <row r="104" spans="1:18">
      <c r="A104" s="4"/>
      <c r="B104" s="4"/>
      <c r="C104" s="9"/>
      <c r="D104" s="4"/>
      <c r="E104" s="4"/>
      <c r="F104" s="4"/>
      <c r="G104" s="4"/>
      <c r="H104" s="4"/>
      <c r="I104" s="4"/>
      <c r="J104" s="4"/>
      <c r="K104" s="4"/>
      <c r="L104" s="4"/>
      <c r="M104" s="4"/>
      <c r="N104" s="4"/>
      <c r="O104" s="4"/>
      <c r="P104" s="4"/>
      <c r="Q104" s="4"/>
      <c r="R104" s="4"/>
    </row>
    <row r="105" spans="1:18">
      <c r="A105" s="4"/>
      <c r="B105" s="4"/>
      <c r="C105" s="9"/>
      <c r="D105" s="4"/>
      <c r="E105" s="4"/>
      <c r="F105" s="4"/>
      <c r="G105" s="4"/>
      <c r="H105" s="4"/>
      <c r="I105" s="4"/>
      <c r="J105" s="4"/>
      <c r="K105" s="4"/>
      <c r="L105" s="4"/>
      <c r="M105" s="4"/>
      <c r="N105" s="4"/>
      <c r="O105" s="4"/>
      <c r="P105" s="4"/>
      <c r="Q105" s="4"/>
      <c r="R105" s="4"/>
    </row>
    <row r="106" spans="1:18">
      <c r="A106" s="4"/>
      <c r="B106" s="4"/>
      <c r="C106" s="9"/>
      <c r="D106" s="4"/>
      <c r="E106" s="4"/>
      <c r="F106" s="4"/>
      <c r="G106" s="4"/>
      <c r="H106" s="4"/>
      <c r="I106" s="4"/>
      <c r="J106" s="4"/>
      <c r="K106" s="4"/>
      <c r="L106" s="4"/>
      <c r="M106" s="4"/>
      <c r="N106" s="4"/>
      <c r="O106" s="4"/>
      <c r="P106" s="4"/>
      <c r="Q106" s="4"/>
      <c r="R106" s="4"/>
    </row>
    <row r="107" spans="1:18">
      <c r="A107" s="4"/>
      <c r="B107" s="4"/>
      <c r="C107" s="9"/>
      <c r="D107" s="4"/>
      <c r="E107" s="4"/>
      <c r="F107" s="4"/>
      <c r="G107" s="4"/>
      <c r="H107" s="4"/>
      <c r="I107" s="4"/>
      <c r="J107" s="4"/>
      <c r="K107" s="4"/>
      <c r="L107" s="4"/>
      <c r="M107" s="4"/>
      <c r="N107" s="4"/>
      <c r="O107" s="4"/>
      <c r="P107" s="4"/>
      <c r="Q107" s="4"/>
      <c r="R107" s="4"/>
    </row>
    <row r="108" spans="1:18">
      <c r="A108" s="4"/>
      <c r="B108" s="4"/>
      <c r="C108" s="9"/>
      <c r="D108" s="4"/>
      <c r="E108" s="4"/>
      <c r="F108" s="4"/>
      <c r="G108" s="4"/>
      <c r="H108" s="4"/>
      <c r="I108" s="4"/>
      <c r="J108" s="4"/>
      <c r="K108" s="4"/>
      <c r="L108" s="4"/>
      <c r="M108" s="4"/>
      <c r="N108" s="4"/>
      <c r="O108" s="4"/>
      <c r="P108" s="4"/>
      <c r="Q108" s="4"/>
      <c r="R108" s="4"/>
    </row>
    <row r="109" spans="1:18">
      <c r="A109" s="4"/>
      <c r="B109" s="4"/>
      <c r="C109" s="9"/>
      <c r="D109" s="4"/>
      <c r="E109" s="4"/>
      <c r="F109" s="4"/>
      <c r="G109" s="4"/>
      <c r="H109" s="4"/>
      <c r="I109" s="4"/>
      <c r="J109" s="4"/>
      <c r="K109" s="4"/>
      <c r="L109" s="4"/>
      <c r="M109" s="4"/>
      <c r="N109" s="4"/>
      <c r="O109" s="4"/>
      <c r="P109" s="4"/>
      <c r="Q109" s="4"/>
      <c r="R109" s="4"/>
    </row>
    <row r="110" spans="1:18">
      <c r="A110" s="4"/>
      <c r="B110" s="4"/>
      <c r="C110" s="9"/>
      <c r="D110" s="4"/>
      <c r="E110" s="4"/>
      <c r="F110" s="4"/>
      <c r="G110" s="4"/>
      <c r="H110" s="4"/>
      <c r="I110" s="4"/>
      <c r="J110" s="4"/>
      <c r="K110" s="4"/>
      <c r="L110" s="4"/>
      <c r="M110" s="4"/>
      <c r="N110" s="4"/>
      <c r="O110" s="4"/>
      <c r="P110" s="4"/>
      <c r="Q110" s="4"/>
      <c r="R110" s="4"/>
    </row>
    <row r="111" spans="1:18">
      <c r="A111" s="4"/>
      <c r="B111" s="4"/>
      <c r="C111" s="9"/>
      <c r="D111" s="4"/>
      <c r="E111" s="4"/>
      <c r="F111" s="4"/>
      <c r="G111" s="4"/>
      <c r="H111" s="4"/>
      <c r="I111" s="4"/>
      <c r="J111" s="4"/>
      <c r="K111" s="4"/>
      <c r="L111" s="4"/>
      <c r="M111" s="4"/>
      <c r="N111" s="4"/>
      <c r="O111" s="4"/>
      <c r="P111" s="4"/>
      <c r="Q111" s="4"/>
      <c r="R111" s="4"/>
    </row>
    <row r="112" spans="1:18">
      <c r="A112" s="4"/>
      <c r="B112" s="4"/>
      <c r="C112" s="9"/>
      <c r="D112" s="4"/>
      <c r="E112" s="4"/>
      <c r="F112" s="4"/>
      <c r="G112" s="4"/>
      <c r="H112" s="4"/>
      <c r="I112" s="4"/>
      <c r="J112" s="4"/>
      <c r="K112" s="4"/>
      <c r="L112" s="4"/>
      <c r="M112" s="4"/>
      <c r="N112" s="4"/>
      <c r="O112" s="4"/>
      <c r="P112" s="4"/>
      <c r="Q112" s="4"/>
      <c r="R112" s="4"/>
    </row>
    <row r="113" spans="1:18">
      <c r="A113" s="4"/>
      <c r="B113" s="4"/>
      <c r="C113" s="9"/>
      <c r="D113" s="4"/>
      <c r="E113" s="4"/>
      <c r="F113" s="4"/>
      <c r="G113" s="4"/>
      <c r="H113" s="4"/>
      <c r="I113" s="4"/>
      <c r="J113" s="4"/>
      <c r="K113" s="4"/>
      <c r="L113" s="4"/>
      <c r="M113" s="4"/>
      <c r="N113" s="4"/>
      <c r="O113" s="4"/>
      <c r="P113" s="4"/>
      <c r="Q113" s="4"/>
      <c r="R113" s="4"/>
    </row>
    <row r="114" spans="1:18">
      <c r="A114" s="4"/>
      <c r="B114" s="4"/>
      <c r="C114" s="9"/>
      <c r="D114" s="4"/>
      <c r="E114" s="4"/>
      <c r="F114" s="4"/>
      <c r="G114" s="4"/>
      <c r="H114" s="4"/>
      <c r="I114" s="4"/>
      <c r="J114" s="4"/>
      <c r="K114" s="4"/>
      <c r="L114" s="4"/>
      <c r="M114" s="4"/>
      <c r="N114" s="4"/>
      <c r="O114" s="4"/>
      <c r="P114" s="4"/>
      <c r="Q114" s="4"/>
      <c r="R114" s="4"/>
    </row>
    <row r="115" spans="1:18">
      <c r="A115" s="4"/>
      <c r="B115" s="4"/>
      <c r="C115" s="9"/>
      <c r="D115" s="4"/>
      <c r="E115" s="4"/>
      <c r="F115" s="4"/>
      <c r="G115" s="4"/>
      <c r="H115" s="4"/>
      <c r="I115" s="4"/>
      <c r="J115" s="4"/>
      <c r="K115" s="4"/>
      <c r="L115" s="4"/>
      <c r="M115" s="4"/>
      <c r="N115" s="4"/>
      <c r="O115" s="4"/>
      <c r="P115" s="4"/>
      <c r="Q115" s="4"/>
      <c r="R115" s="4"/>
    </row>
    <row r="116" spans="1:18">
      <c r="A116" s="4"/>
      <c r="B116" s="4"/>
      <c r="C116" s="9"/>
      <c r="D116" s="4"/>
      <c r="E116" s="4"/>
      <c r="F116" s="4"/>
      <c r="G116" s="4"/>
      <c r="H116" s="4"/>
      <c r="I116" s="4"/>
      <c r="J116" s="4"/>
      <c r="K116" s="4"/>
      <c r="L116" s="4"/>
      <c r="M116" s="4"/>
      <c r="N116" s="4"/>
      <c r="O116" s="4"/>
      <c r="P116" s="4"/>
      <c r="Q116" s="4"/>
      <c r="R116" s="4"/>
    </row>
    <row r="117" spans="1:18">
      <c r="A117" s="4"/>
      <c r="B117" s="4"/>
      <c r="C117" s="9"/>
      <c r="D117" s="4"/>
      <c r="E117" s="4"/>
      <c r="F117" s="4"/>
      <c r="G117" s="4"/>
      <c r="H117" s="4"/>
      <c r="I117" s="4"/>
      <c r="J117" s="4"/>
      <c r="K117" s="4"/>
      <c r="L117" s="4"/>
      <c r="M117" s="4"/>
      <c r="N117" s="4"/>
      <c r="O117" s="4"/>
      <c r="P117" s="4"/>
      <c r="Q117" s="4"/>
      <c r="R117" s="4"/>
    </row>
    <row r="118" spans="1:18">
      <c r="A118" s="4"/>
      <c r="B118" s="4"/>
      <c r="C118" s="9"/>
      <c r="D118" s="4"/>
      <c r="E118" s="4"/>
      <c r="F118" s="4"/>
      <c r="G118" s="4"/>
      <c r="H118" s="4"/>
      <c r="I118" s="4"/>
      <c r="J118" s="4"/>
      <c r="K118" s="4"/>
      <c r="L118" s="4"/>
      <c r="M118" s="4"/>
      <c r="N118" s="4"/>
      <c r="O118" s="4"/>
      <c r="P118" s="4"/>
      <c r="Q118" s="4"/>
      <c r="R118" s="4"/>
    </row>
    <row r="119" spans="1:18">
      <c r="A119" s="4"/>
      <c r="B119" s="4"/>
      <c r="C119" s="9"/>
      <c r="D119" s="4"/>
      <c r="E119" s="4"/>
      <c r="F119" s="4"/>
      <c r="G119" s="4"/>
      <c r="H119" s="4"/>
      <c r="I119" s="4"/>
      <c r="J119" s="4"/>
      <c r="K119" s="4"/>
      <c r="L119" s="4"/>
      <c r="M119" s="4"/>
      <c r="N119" s="4"/>
      <c r="O119" s="4"/>
      <c r="P119" s="4"/>
      <c r="Q119" s="4"/>
      <c r="R119" s="4"/>
    </row>
    <row r="120" spans="1:18">
      <c r="A120" s="4"/>
      <c r="B120" s="4"/>
      <c r="C120" s="9"/>
      <c r="D120" s="4"/>
      <c r="E120" s="4"/>
      <c r="F120" s="4"/>
      <c r="G120" s="4"/>
      <c r="H120" s="4"/>
      <c r="I120" s="4"/>
      <c r="J120" s="4"/>
      <c r="K120" s="4"/>
      <c r="L120" s="4"/>
      <c r="M120" s="4"/>
      <c r="N120" s="4"/>
      <c r="O120" s="4"/>
      <c r="P120" s="4"/>
      <c r="Q120" s="4"/>
      <c r="R120" s="4"/>
    </row>
    <row r="121" spans="1:18">
      <c r="A121" s="4"/>
      <c r="B121" s="4"/>
      <c r="C121" s="9"/>
      <c r="D121" s="4"/>
      <c r="E121" s="4"/>
      <c r="F121" s="4"/>
      <c r="G121" s="4"/>
      <c r="H121" s="4"/>
      <c r="I121" s="4"/>
      <c r="J121" s="4"/>
      <c r="K121" s="4"/>
      <c r="L121" s="4"/>
      <c r="M121" s="4"/>
      <c r="N121" s="4"/>
      <c r="O121" s="4"/>
      <c r="P121" s="4"/>
      <c r="Q121" s="4"/>
      <c r="R121" s="4"/>
    </row>
    <row r="122" spans="1:18">
      <c r="A122" s="4"/>
      <c r="B122" s="4"/>
      <c r="C122" s="9"/>
      <c r="D122" s="4"/>
      <c r="E122" s="4"/>
      <c r="F122" s="4"/>
      <c r="G122" s="4"/>
      <c r="H122" s="4"/>
      <c r="I122" s="4"/>
      <c r="J122" s="4"/>
      <c r="K122" s="4"/>
      <c r="L122" s="4"/>
      <c r="M122" s="4"/>
      <c r="N122" s="4"/>
      <c r="O122" s="4"/>
      <c r="P122" s="4"/>
      <c r="Q122" s="4"/>
      <c r="R122" s="4"/>
    </row>
    <row r="123" spans="1:18">
      <c r="A123" s="4"/>
      <c r="B123" s="4"/>
      <c r="C123" s="9"/>
      <c r="D123" s="4"/>
      <c r="E123" s="4"/>
      <c r="F123" s="4"/>
      <c r="G123" s="4"/>
      <c r="H123" s="4"/>
      <c r="I123" s="4"/>
      <c r="J123" s="4"/>
      <c r="K123" s="4"/>
      <c r="L123" s="4"/>
      <c r="M123" s="4"/>
      <c r="N123" s="4"/>
      <c r="O123" s="4"/>
      <c r="P123" s="4"/>
      <c r="Q123" s="4"/>
      <c r="R123" s="4"/>
    </row>
    <row r="124" spans="1:18">
      <c r="A124" s="4"/>
      <c r="B124" s="4"/>
      <c r="C124" s="9"/>
      <c r="D124" s="4"/>
      <c r="E124" s="4"/>
      <c r="F124" s="4"/>
      <c r="G124" s="4"/>
      <c r="H124" s="4"/>
      <c r="I124" s="4"/>
      <c r="J124" s="4"/>
      <c r="K124" s="4"/>
      <c r="L124" s="4"/>
      <c r="M124" s="4"/>
      <c r="N124" s="4"/>
      <c r="O124" s="4"/>
      <c r="P124" s="4"/>
      <c r="Q124" s="4"/>
      <c r="R124" s="4"/>
    </row>
    <row r="125" spans="1:18">
      <c r="A125" s="4"/>
      <c r="B125" s="4"/>
      <c r="C125" s="9"/>
      <c r="D125" s="4"/>
      <c r="E125" s="4"/>
      <c r="F125" s="4"/>
      <c r="G125" s="4"/>
      <c r="H125" s="4"/>
      <c r="I125" s="4"/>
      <c r="J125" s="4"/>
      <c r="K125" s="4"/>
      <c r="L125" s="4"/>
      <c r="M125" s="4"/>
      <c r="N125" s="4"/>
      <c r="O125" s="4"/>
      <c r="P125" s="4"/>
      <c r="Q125" s="4"/>
      <c r="R125" s="4"/>
    </row>
    <row r="126" spans="1:18">
      <c r="A126" s="4"/>
      <c r="B126" s="4"/>
      <c r="C126" s="9"/>
      <c r="D126" s="4"/>
      <c r="E126" s="4"/>
      <c r="F126" s="4"/>
      <c r="G126" s="4"/>
      <c r="H126" s="4"/>
      <c r="I126" s="4"/>
      <c r="J126" s="4"/>
      <c r="K126" s="4"/>
      <c r="L126" s="4"/>
      <c r="M126" s="4"/>
      <c r="N126" s="4"/>
      <c r="O126" s="4"/>
      <c r="P126" s="4"/>
      <c r="Q126" s="4"/>
      <c r="R126" s="4"/>
    </row>
    <row r="127" spans="1:18">
      <c r="A127" s="4"/>
      <c r="B127" s="4"/>
      <c r="C127" s="9"/>
      <c r="D127" s="4"/>
      <c r="E127" s="4"/>
      <c r="F127" s="4"/>
      <c r="G127" s="4"/>
      <c r="H127" s="4"/>
      <c r="I127" s="4"/>
      <c r="J127" s="4"/>
      <c r="K127" s="4"/>
      <c r="L127" s="4"/>
      <c r="M127" s="4"/>
      <c r="N127" s="4"/>
      <c r="O127" s="4"/>
      <c r="P127" s="4"/>
      <c r="Q127" s="4"/>
      <c r="R127" s="4"/>
    </row>
    <row r="128" spans="1:18">
      <c r="A128" s="4"/>
      <c r="B128" s="4"/>
      <c r="C128" s="9"/>
      <c r="D128" s="4"/>
      <c r="E128" s="4"/>
      <c r="F128" s="4"/>
      <c r="G128" s="4"/>
      <c r="H128" s="4"/>
      <c r="I128" s="4"/>
      <c r="J128" s="4"/>
      <c r="K128" s="4"/>
      <c r="L128" s="4"/>
      <c r="M128" s="4"/>
      <c r="N128" s="4"/>
      <c r="O128" s="4"/>
      <c r="P128" s="4"/>
      <c r="Q128" s="4"/>
      <c r="R128" s="4"/>
    </row>
    <row r="129" spans="1:18">
      <c r="A129" s="4"/>
      <c r="B129" s="4"/>
      <c r="C129" s="9"/>
      <c r="D129" s="4"/>
      <c r="E129" s="4"/>
      <c r="F129" s="4"/>
      <c r="G129" s="4"/>
      <c r="H129" s="4"/>
      <c r="I129" s="4"/>
      <c r="J129" s="4"/>
      <c r="K129" s="4"/>
      <c r="L129" s="4"/>
      <c r="M129" s="4"/>
      <c r="N129" s="4"/>
      <c r="O129" s="4"/>
      <c r="P129" s="4"/>
      <c r="Q129" s="4"/>
      <c r="R129" s="4"/>
    </row>
    <row r="130" spans="1:18">
      <c r="A130" s="4"/>
      <c r="B130" s="4"/>
      <c r="C130" s="9"/>
      <c r="D130" s="4"/>
      <c r="E130" s="4"/>
      <c r="F130" s="4"/>
      <c r="G130" s="4"/>
      <c r="H130" s="4"/>
      <c r="I130" s="4"/>
      <c r="J130" s="4"/>
      <c r="K130" s="4"/>
      <c r="L130" s="4"/>
      <c r="M130" s="4"/>
      <c r="N130" s="4"/>
      <c r="O130" s="4"/>
      <c r="P130" s="4"/>
      <c r="Q130" s="4"/>
      <c r="R130" s="4"/>
    </row>
    <row r="131" spans="1:18">
      <c r="A131" s="4"/>
      <c r="B131" s="4"/>
      <c r="C131" s="9"/>
      <c r="D131" s="4"/>
      <c r="E131" s="4"/>
      <c r="F131" s="4"/>
      <c r="G131" s="4"/>
      <c r="H131" s="4"/>
      <c r="I131" s="4"/>
      <c r="J131" s="4"/>
      <c r="K131" s="4"/>
      <c r="L131" s="4"/>
      <c r="M131" s="4"/>
      <c r="N131" s="4"/>
      <c r="O131" s="4"/>
      <c r="P131" s="4"/>
      <c r="Q131" s="4"/>
      <c r="R131" s="4"/>
    </row>
    <row r="132" spans="1:18">
      <c r="A132" s="4"/>
      <c r="B132" s="4"/>
      <c r="C132" s="9"/>
      <c r="D132" s="4"/>
      <c r="E132" s="4"/>
      <c r="F132" s="4"/>
      <c r="G132" s="4"/>
      <c r="H132" s="4"/>
      <c r="I132" s="4"/>
      <c r="J132" s="4"/>
      <c r="K132" s="4"/>
      <c r="L132" s="4"/>
      <c r="M132" s="4"/>
      <c r="N132" s="4"/>
      <c r="O132" s="4"/>
      <c r="P132" s="4"/>
      <c r="Q132" s="4"/>
      <c r="R132" s="4"/>
    </row>
    <row r="133" spans="1:18">
      <c r="A133" s="4"/>
      <c r="B133" s="4"/>
      <c r="C133" s="9"/>
      <c r="D133" s="4"/>
      <c r="E133" s="4"/>
      <c r="F133" s="4"/>
      <c r="G133" s="4"/>
      <c r="H133" s="4"/>
      <c r="I133" s="4"/>
      <c r="J133" s="4"/>
      <c r="K133" s="4"/>
      <c r="L133" s="4"/>
      <c r="M133" s="4"/>
      <c r="N133" s="4"/>
      <c r="O133" s="4"/>
      <c r="P133" s="4"/>
      <c r="Q133" s="4"/>
      <c r="R133" s="4"/>
    </row>
    <row r="134" spans="1:18">
      <c r="A134" s="4"/>
      <c r="B134" s="4"/>
      <c r="C134" s="9"/>
      <c r="D134" s="4"/>
      <c r="E134" s="4"/>
      <c r="F134" s="4"/>
      <c r="G134" s="4"/>
      <c r="H134" s="4"/>
      <c r="I134" s="4"/>
      <c r="J134" s="4"/>
      <c r="K134" s="4"/>
      <c r="L134" s="4"/>
      <c r="M134" s="4"/>
      <c r="N134" s="4"/>
      <c r="O134" s="4"/>
      <c r="P134" s="4"/>
      <c r="Q134" s="4"/>
      <c r="R134" s="4"/>
    </row>
    <row r="135" spans="1:18">
      <c r="A135" s="4"/>
      <c r="B135" s="4"/>
      <c r="C135" s="9"/>
      <c r="D135" s="4"/>
      <c r="E135" s="4"/>
      <c r="F135" s="4"/>
      <c r="G135" s="4"/>
      <c r="H135" s="4"/>
      <c r="I135" s="4"/>
      <c r="J135" s="4"/>
      <c r="K135" s="4"/>
      <c r="L135" s="4"/>
      <c r="M135" s="4"/>
      <c r="N135" s="4"/>
      <c r="O135" s="4"/>
      <c r="P135" s="4"/>
      <c r="Q135" s="4"/>
      <c r="R135" s="4"/>
    </row>
    <row r="136" spans="1:18">
      <c r="A136" s="4"/>
      <c r="B136" s="4"/>
      <c r="C136" s="9"/>
      <c r="D136" s="4"/>
      <c r="E136" s="4"/>
      <c r="F136" s="4"/>
      <c r="G136" s="4"/>
      <c r="H136" s="4"/>
      <c r="I136" s="4"/>
      <c r="J136" s="4"/>
      <c r="K136" s="4"/>
      <c r="L136" s="4"/>
      <c r="M136" s="4"/>
      <c r="N136" s="4"/>
      <c r="O136" s="4"/>
      <c r="P136" s="4"/>
      <c r="Q136" s="4"/>
      <c r="R136" s="4"/>
    </row>
    <row r="137" spans="1:18">
      <c r="A137" s="4"/>
      <c r="B137" s="4"/>
      <c r="C137" s="9"/>
      <c r="D137" s="4"/>
      <c r="E137" s="4"/>
      <c r="F137" s="4"/>
      <c r="G137" s="4"/>
      <c r="H137" s="4"/>
      <c r="I137" s="4"/>
      <c r="J137" s="4"/>
      <c r="K137" s="4"/>
      <c r="L137" s="4"/>
      <c r="M137" s="4"/>
      <c r="N137" s="4"/>
      <c r="O137" s="4"/>
      <c r="P137" s="4"/>
      <c r="Q137" s="4"/>
      <c r="R137" s="4"/>
    </row>
    <row r="138" spans="1:18">
      <c r="A138" s="4"/>
      <c r="B138" s="4"/>
      <c r="C138" s="9"/>
      <c r="D138" s="4"/>
      <c r="E138" s="4"/>
      <c r="F138" s="4"/>
      <c r="G138" s="4"/>
      <c r="H138" s="4"/>
      <c r="I138" s="4"/>
      <c r="J138" s="4"/>
      <c r="K138" s="4"/>
      <c r="L138" s="4"/>
      <c r="M138" s="4"/>
      <c r="N138" s="4"/>
      <c r="O138" s="4"/>
      <c r="P138" s="4"/>
      <c r="Q138" s="4"/>
      <c r="R138" s="4"/>
    </row>
    <row r="139" spans="1:18">
      <c r="A139" s="4"/>
      <c r="B139" s="4"/>
      <c r="C139" s="9"/>
      <c r="D139" s="4"/>
      <c r="E139" s="4"/>
      <c r="F139" s="4"/>
      <c r="G139" s="4"/>
      <c r="H139" s="4"/>
      <c r="I139" s="4"/>
      <c r="J139" s="4"/>
      <c r="K139" s="4"/>
      <c r="L139" s="4"/>
      <c r="M139" s="4"/>
      <c r="N139" s="4"/>
      <c r="O139" s="4"/>
      <c r="P139" s="4"/>
      <c r="Q139" s="4"/>
      <c r="R139" s="4"/>
    </row>
    <row r="140" spans="1:18">
      <c r="A140" s="4"/>
      <c r="B140" s="4"/>
      <c r="C140" s="9"/>
      <c r="D140" s="4"/>
      <c r="E140" s="4"/>
      <c r="F140" s="4"/>
      <c r="G140" s="4"/>
      <c r="H140" s="4"/>
      <c r="I140" s="4"/>
      <c r="J140" s="4"/>
      <c r="K140" s="4"/>
      <c r="L140" s="4"/>
      <c r="M140" s="4"/>
      <c r="N140" s="4"/>
      <c r="O140" s="4"/>
      <c r="P140" s="4"/>
      <c r="Q140" s="4"/>
      <c r="R140" s="4"/>
    </row>
    <row r="141" spans="1:18">
      <c r="A141" s="4"/>
      <c r="B141" s="4"/>
      <c r="C141" s="9"/>
      <c r="D141" s="4"/>
      <c r="E141" s="4"/>
      <c r="F141" s="4"/>
      <c r="G141" s="4"/>
      <c r="H141" s="4"/>
      <c r="I141" s="4"/>
      <c r="J141" s="4"/>
      <c r="K141" s="4"/>
      <c r="L141" s="4"/>
      <c r="M141" s="4"/>
      <c r="N141" s="4"/>
      <c r="O141" s="4"/>
      <c r="P141" s="4"/>
      <c r="Q141" s="4"/>
      <c r="R141" s="4"/>
    </row>
    <row r="142" spans="1:18">
      <c r="A142" s="4"/>
      <c r="B142" s="4"/>
      <c r="C142" s="9"/>
      <c r="D142" s="4"/>
      <c r="E142" s="4"/>
      <c r="F142" s="4"/>
      <c r="G142" s="4"/>
      <c r="H142" s="4"/>
      <c r="I142" s="4"/>
      <c r="J142" s="4"/>
      <c r="K142" s="4"/>
      <c r="L142" s="4"/>
      <c r="M142" s="4"/>
      <c r="N142" s="4"/>
      <c r="O142" s="4"/>
      <c r="P142" s="4"/>
      <c r="Q142" s="4"/>
      <c r="R142" s="4"/>
    </row>
    <row r="143" spans="1:18">
      <c r="A143" s="4"/>
      <c r="B143" s="4"/>
      <c r="C143" s="9"/>
      <c r="D143" s="4"/>
      <c r="E143" s="4"/>
      <c r="F143" s="4"/>
      <c r="G143" s="4"/>
      <c r="H143" s="4"/>
      <c r="I143" s="4"/>
      <c r="J143" s="4"/>
      <c r="K143" s="4"/>
      <c r="L143" s="4"/>
      <c r="M143" s="4"/>
      <c r="N143" s="4"/>
      <c r="O143" s="4"/>
      <c r="P143" s="4"/>
      <c r="Q143" s="4"/>
      <c r="R143" s="4"/>
    </row>
    <row r="144" spans="1:18">
      <c r="A144" s="4"/>
      <c r="B144" s="4"/>
      <c r="C144" s="9"/>
      <c r="D144" s="4"/>
      <c r="E144" s="4"/>
      <c r="F144" s="4"/>
      <c r="G144" s="4"/>
      <c r="H144" s="4"/>
      <c r="I144" s="4"/>
      <c r="J144" s="4"/>
      <c r="K144" s="4"/>
      <c r="L144" s="4"/>
      <c r="M144" s="4"/>
      <c r="N144" s="4"/>
      <c r="O144" s="4"/>
      <c r="P144" s="4"/>
      <c r="Q144" s="4"/>
      <c r="R144" s="4"/>
    </row>
    <row r="145" spans="1:18">
      <c r="A145" s="4"/>
      <c r="B145" s="4"/>
      <c r="C145" s="9"/>
      <c r="D145" s="4"/>
      <c r="E145" s="4"/>
      <c r="F145" s="4"/>
      <c r="G145" s="4"/>
      <c r="H145" s="4"/>
      <c r="I145" s="4"/>
      <c r="J145" s="4"/>
      <c r="K145" s="4"/>
      <c r="L145" s="4"/>
      <c r="M145" s="4"/>
      <c r="N145" s="4"/>
      <c r="O145" s="4"/>
      <c r="P145" s="4"/>
      <c r="Q145" s="4"/>
      <c r="R145" s="4"/>
    </row>
    <row r="146" spans="1:18">
      <c r="A146" s="4"/>
      <c r="B146" s="4"/>
      <c r="C146" s="9"/>
      <c r="D146" s="4"/>
      <c r="E146" s="4"/>
      <c r="F146" s="4"/>
      <c r="G146" s="4"/>
      <c r="H146" s="4"/>
      <c r="I146" s="4"/>
      <c r="J146" s="4"/>
      <c r="K146" s="4"/>
      <c r="L146" s="4"/>
      <c r="M146" s="4"/>
      <c r="N146" s="4"/>
      <c r="O146" s="4"/>
      <c r="P146" s="4"/>
      <c r="Q146" s="4"/>
      <c r="R146" s="4"/>
    </row>
    <row r="147" spans="1:18">
      <c r="A147" s="4"/>
      <c r="B147" s="4"/>
      <c r="C147" s="9"/>
      <c r="D147" s="4"/>
      <c r="E147" s="4"/>
      <c r="F147" s="4"/>
      <c r="G147" s="4"/>
      <c r="H147" s="4"/>
      <c r="I147" s="4"/>
      <c r="J147" s="4"/>
      <c r="K147" s="4"/>
      <c r="L147" s="4"/>
      <c r="M147" s="4"/>
      <c r="N147" s="4"/>
      <c r="O147" s="4"/>
      <c r="P147" s="4"/>
      <c r="Q147" s="4"/>
      <c r="R147" s="4"/>
    </row>
    <row r="148" spans="1:18">
      <c r="A148" s="4"/>
      <c r="B148" s="4"/>
      <c r="C148" s="9"/>
      <c r="D148" s="4"/>
      <c r="E148" s="4"/>
      <c r="F148" s="4"/>
      <c r="G148" s="4"/>
      <c r="H148" s="4"/>
      <c r="I148" s="4"/>
      <c r="J148" s="4"/>
      <c r="K148" s="4"/>
      <c r="L148" s="4"/>
      <c r="M148" s="4"/>
      <c r="N148" s="4"/>
      <c r="O148" s="4"/>
      <c r="P148" s="4"/>
      <c r="Q148" s="4"/>
      <c r="R148" s="4"/>
    </row>
    <row r="149" spans="1:18">
      <c r="A149" s="4"/>
      <c r="B149" s="4"/>
      <c r="C149" s="9"/>
      <c r="D149" s="4"/>
      <c r="E149" s="4"/>
      <c r="F149" s="4"/>
      <c r="G149" s="4"/>
      <c r="H149" s="4"/>
      <c r="I149" s="4"/>
      <c r="J149" s="4"/>
      <c r="K149" s="4"/>
      <c r="L149" s="4"/>
      <c r="M149" s="4"/>
      <c r="N149" s="4"/>
      <c r="O149" s="4"/>
      <c r="P149" s="4"/>
      <c r="Q149" s="4"/>
      <c r="R149" s="4"/>
    </row>
    <row r="150" spans="1:18">
      <c r="A150" s="4"/>
      <c r="B150" s="4"/>
      <c r="C150" s="9"/>
      <c r="D150" s="4"/>
      <c r="E150" s="4"/>
      <c r="F150" s="4"/>
      <c r="G150" s="4"/>
      <c r="H150" s="4"/>
      <c r="I150" s="4"/>
      <c r="J150" s="4"/>
      <c r="K150" s="4"/>
      <c r="L150" s="4"/>
      <c r="M150" s="4"/>
      <c r="N150" s="4"/>
      <c r="O150" s="4"/>
      <c r="P150" s="4"/>
      <c r="Q150" s="4"/>
      <c r="R150" s="4"/>
    </row>
    <row r="151" spans="1:18">
      <c r="A151" s="4"/>
      <c r="B151" s="4"/>
      <c r="C151" s="9"/>
      <c r="D151" s="4"/>
      <c r="E151" s="4"/>
      <c r="F151" s="4"/>
      <c r="G151" s="4"/>
      <c r="H151" s="4"/>
      <c r="I151" s="4"/>
      <c r="J151" s="4"/>
      <c r="K151" s="4"/>
      <c r="L151" s="4"/>
      <c r="M151" s="4"/>
      <c r="N151" s="4"/>
      <c r="O151" s="4"/>
      <c r="P151" s="4"/>
      <c r="Q151" s="4"/>
      <c r="R151" s="4"/>
    </row>
    <row r="152" spans="1:18">
      <c r="A152" s="4"/>
      <c r="B152" s="4"/>
      <c r="C152" s="9"/>
      <c r="D152" s="4"/>
      <c r="E152" s="4"/>
      <c r="F152" s="4"/>
      <c r="G152" s="4"/>
      <c r="H152" s="4"/>
      <c r="I152" s="4"/>
      <c r="J152" s="4"/>
      <c r="K152" s="4"/>
      <c r="L152" s="4"/>
      <c r="M152" s="4"/>
      <c r="N152" s="4"/>
      <c r="O152" s="4"/>
      <c r="P152" s="4"/>
      <c r="Q152" s="4"/>
      <c r="R152" s="4"/>
    </row>
    <row r="153" spans="1:18">
      <c r="A153" s="4"/>
      <c r="B153" s="4"/>
      <c r="C153" s="9"/>
      <c r="D153" s="4"/>
      <c r="E153" s="4"/>
      <c r="F153" s="4"/>
      <c r="G153" s="4"/>
      <c r="H153" s="4"/>
      <c r="I153" s="4"/>
      <c r="J153" s="4"/>
      <c r="K153" s="4"/>
      <c r="L153" s="4"/>
      <c r="M153" s="4"/>
      <c r="N153" s="4"/>
      <c r="O153" s="4"/>
      <c r="P153" s="4"/>
      <c r="Q153" s="4"/>
      <c r="R153" s="4"/>
    </row>
    <row r="154" spans="1:18">
      <c r="A154" s="4"/>
      <c r="B154" s="4"/>
      <c r="C154" s="9"/>
      <c r="D154" s="4"/>
      <c r="E154" s="4"/>
      <c r="F154" s="4"/>
      <c r="G154" s="4"/>
      <c r="H154" s="4"/>
      <c r="I154" s="4"/>
      <c r="J154" s="4"/>
      <c r="K154" s="4"/>
      <c r="L154" s="4"/>
      <c r="M154" s="4"/>
      <c r="N154" s="4"/>
      <c r="O154" s="4"/>
      <c r="P154" s="4"/>
      <c r="Q154" s="4"/>
      <c r="R154" s="4"/>
    </row>
    <row r="155" spans="1:18">
      <c r="A155" s="4"/>
      <c r="B155" s="4"/>
      <c r="C155" s="9"/>
      <c r="D155" s="4"/>
      <c r="E155" s="4"/>
      <c r="F155" s="4"/>
      <c r="G155" s="4"/>
      <c r="H155" s="4"/>
      <c r="I155" s="4"/>
      <c r="J155" s="4"/>
      <c r="K155" s="4"/>
      <c r="L155" s="4"/>
      <c r="M155" s="4"/>
      <c r="N155" s="4"/>
      <c r="O155" s="4"/>
      <c r="P155" s="4"/>
      <c r="Q155" s="4"/>
      <c r="R155" s="4"/>
    </row>
    <row r="156" spans="1:18">
      <c r="A156" s="4"/>
      <c r="B156" s="4"/>
      <c r="C156" s="9"/>
      <c r="D156" s="4"/>
      <c r="E156" s="4"/>
      <c r="F156" s="4"/>
      <c r="G156" s="4"/>
      <c r="H156" s="4"/>
      <c r="I156" s="4"/>
      <c r="J156" s="4"/>
      <c r="K156" s="4"/>
      <c r="L156" s="4"/>
      <c r="M156" s="4"/>
      <c r="N156" s="4"/>
      <c r="O156" s="4"/>
      <c r="P156" s="4"/>
      <c r="Q156" s="4"/>
      <c r="R156" s="4"/>
    </row>
    <row r="157" spans="1:18">
      <c r="A157" s="4"/>
      <c r="B157" s="4"/>
      <c r="C157" s="9"/>
      <c r="D157" s="4"/>
      <c r="E157" s="4"/>
      <c r="F157" s="4"/>
      <c r="G157" s="4"/>
      <c r="H157" s="4"/>
      <c r="I157" s="4"/>
      <c r="J157" s="4"/>
      <c r="K157" s="4"/>
      <c r="L157" s="4"/>
      <c r="M157" s="4"/>
      <c r="N157" s="4"/>
      <c r="O157" s="4"/>
      <c r="P157" s="4"/>
      <c r="Q157" s="4"/>
      <c r="R157" s="4"/>
    </row>
    <row r="158" spans="1:18">
      <c r="A158" s="4"/>
      <c r="B158" s="4"/>
      <c r="C158" s="9"/>
      <c r="D158" s="4"/>
      <c r="E158" s="4"/>
      <c r="F158" s="4"/>
      <c r="G158" s="4"/>
      <c r="H158" s="4"/>
      <c r="I158" s="4"/>
      <c r="J158" s="4"/>
      <c r="K158" s="4"/>
      <c r="L158" s="4"/>
      <c r="M158" s="4"/>
      <c r="N158" s="4"/>
      <c r="O158" s="4"/>
      <c r="P158" s="4"/>
      <c r="Q158" s="4"/>
      <c r="R158" s="4"/>
    </row>
    <row r="159" spans="1:18">
      <c r="A159" s="4"/>
      <c r="B159" s="4"/>
      <c r="C159" s="9"/>
      <c r="D159" s="4"/>
      <c r="E159" s="4"/>
      <c r="F159" s="4"/>
      <c r="G159" s="4"/>
      <c r="H159" s="4"/>
      <c r="I159" s="4"/>
      <c r="J159" s="4"/>
      <c r="K159" s="4"/>
      <c r="L159" s="4"/>
      <c r="M159" s="4"/>
      <c r="N159" s="4"/>
      <c r="O159" s="4"/>
      <c r="P159" s="4"/>
      <c r="Q159" s="4"/>
      <c r="R159" s="4"/>
    </row>
    <row r="160" spans="1:18">
      <c r="A160" s="4"/>
      <c r="B160" s="4"/>
      <c r="C160" s="9"/>
      <c r="D160" s="4"/>
      <c r="E160" s="4"/>
      <c r="F160" s="4"/>
      <c r="G160" s="4"/>
      <c r="H160" s="4"/>
      <c r="I160" s="4"/>
      <c r="J160" s="4"/>
      <c r="K160" s="4"/>
      <c r="L160" s="4"/>
      <c r="M160" s="4"/>
      <c r="N160" s="4"/>
      <c r="O160" s="4"/>
      <c r="P160" s="4"/>
      <c r="Q160" s="4"/>
      <c r="R160" s="4"/>
    </row>
    <row r="161" spans="1:18">
      <c r="A161" s="4"/>
      <c r="B161" s="4"/>
      <c r="C161" s="9"/>
      <c r="D161" s="4"/>
      <c r="E161" s="4"/>
      <c r="F161" s="4"/>
      <c r="G161" s="4"/>
      <c r="H161" s="4"/>
      <c r="I161" s="4"/>
      <c r="J161" s="4"/>
      <c r="K161" s="4"/>
      <c r="L161" s="4"/>
      <c r="M161" s="4"/>
      <c r="N161" s="4"/>
      <c r="O161" s="4"/>
      <c r="P161" s="4"/>
      <c r="Q161" s="4"/>
      <c r="R161" s="4"/>
    </row>
    <row r="162" spans="1:18">
      <c r="A162" s="4"/>
      <c r="B162" s="4"/>
      <c r="C162" s="9"/>
      <c r="D162" s="4"/>
      <c r="E162" s="4"/>
      <c r="F162" s="4"/>
      <c r="G162" s="4"/>
      <c r="H162" s="4"/>
      <c r="I162" s="4"/>
      <c r="J162" s="4"/>
      <c r="K162" s="4"/>
      <c r="L162" s="4"/>
      <c r="M162" s="4"/>
      <c r="N162" s="4"/>
      <c r="O162" s="4"/>
      <c r="P162" s="4"/>
      <c r="Q162" s="4"/>
      <c r="R162" s="4"/>
    </row>
    <row r="163" spans="1:18">
      <c r="A163" s="4"/>
      <c r="B163" s="4"/>
      <c r="C163" s="9"/>
      <c r="D163" s="4"/>
      <c r="E163" s="4"/>
      <c r="F163" s="4"/>
      <c r="G163" s="4"/>
      <c r="H163" s="4"/>
      <c r="I163" s="4"/>
      <c r="J163" s="4"/>
      <c r="K163" s="4"/>
      <c r="L163" s="4"/>
      <c r="M163" s="4"/>
      <c r="N163" s="4"/>
      <c r="O163" s="4"/>
      <c r="P163" s="4"/>
      <c r="Q163" s="4"/>
      <c r="R163" s="4"/>
    </row>
    <row r="164" spans="1:18">
      <c r="A164" s="4"/>
      <c r="B164" s="4"/>
      <c r="C164" s="9"/>
      <c r="D164" s="4"/>
      <c r="E164" s="4"/>
      <c r="F164" s="4"/>
      <c r="G164" s="4"/>
      <c r="H164" s="4"/>
      <c r="I164" s="4"/>
      <c r="J164" s="4"/>
      <c r="K164" s="4"/>
      <c r="L164" s="4"/>
      <c r="M164" s="4"/>
      <c r="N164" s="4"/>
      <c r="O164" s="4"/>
      <c r="P164" s="4"/>
      <c r="Q164" s="4"/>
      <c r="R164" s="4"/>
    </row>
    <row r="165" spans="1:18">
      <c r="A165" s="4"/>
      <c r="B165" s="4"/>
      <c r="C165" s="9"/>
      <c r="D165" s="4"/>
      <c r="E165" s="4"/>
      <c r="F165" s="4"/>
      <c r="G165" s="4"/>
      <c r="H165" s="4"/>
      <c r="I165" s="4"/>
      <c r="J165" s="4"/>
      <c r="K165" s="4"/>
      <c r="L165" s="4"/>
      <c r="M165" s="4"/>
      <c r="N165" s="4"/>
      <c r="O165" s="4"/>
      <c r="P165" s="4"/>
      <c r="Q165" s="4"/>
      <c r="R165" s="4"/>
    </row>
    <row r="166" spans="1:18">
      <c r="A166" s="4"/>
      <c r="B166" s="4"/>
      <c r="C166" s="9"/>
      <c r="D166" s="4"/>
      <c r="E166" s="4"/>
      <c r="F166" s="4"/>
      <c r="G166" s="4"/>
      <c r="H166" s="4"/>
      <c r="I166" s="4"/>
      <c r="J166" s="4"/>
      <c r="K166" s="4"/>
      <c r="L166" s="4"/>
      <c r="M166" s="4"/>
      <c r="N166" s="4"/>
      <c r="O166" s="4"/>
      <c r="P166" s="4"/>
      <c r="Q166" s="4"/>
      <c r="R166" s="4"/>
    </row>
    <row r="167" spans="1:18">
      <c r="A167" s="4"/>
      <c r="B167" s="4"/>
      <c r="C167" s="9"/>
      <c r="D167" s="4"/>
      <c r="E167" s="4"/>
      <c r="F167" s="4"/>
      <c r="G167" s="4"/>
      <c r="H167" s="4"/>
      <c r="I167" s="4"/>
      <c r="J167" s="4"/>
      <c r="K167" s="4"/>
      <c r="L167" s="4"/>
      <c r="M167" s="4"/>
      <c r="N167" s="4"/>
      <c r="O167" s="4"/>
      <c r="P167" s="4"/>
      <c r="Q167" s="4"/>
      <c r="R167" s="4"/>
    </row>
    <row r="168" spans="1:18">
      <c r="A168" s="4"/>
      <c r="B168" s="4"/>
      <c r="C168" s="9"/>
      <c r="D168" s="4"/>
      <c r="E168" s="4"/>
      <c r="F168" s="4"/>
      <c r="G168" s="4"/>
      <c r="H168" s="4"/>
      <c r="I168" s="4"/>
      <c r="J168" s="4"/>
      <c r="K168" s="4"/>
      <c r="L168" s="4"/>
      <c r="M168" s="4"/>
      <c r="N168" s="4"/>
      <c r="O168" s="4"/>
      <c r="P168" s="4"/>
      <c r="Q168" s="4"/>
      <c r="R168" s="4"/>
    </row>
    <row r="169" spans="1:18">
      <c r="A169" s="4"/>
      <c r="B169" s="4"/>
      <c r="C169" s="9"/>
      <c r="D169" s="4"/>
      <c r="E169" s="4"/>
      <c r="F169" s="4"/>
      <c r="G169" s="4"/>
      <c r="H169" s="4"/>
      <c r="I169" s="4"/>
      <c r="J169" s="4"/>
      <c r="K169" s="4"/>
      <c r="L169" s="4"/>
      <c r="M169" s="4"/>
      <c r="N169" s="4"/>
      <c r="O169" s="4"/>
      <c r="P169" s="4"/>
      <c r="Q169" s="4"/>
      <c r="R169" s="4"/>
    </row>
    <row r="170" spans="1:18">
      <c r="A170" s="4"/>
      <c r="B170" s="4"/>
      <c r="C170" s="9"/>
      <c r="D170" s="4"/>
      <c r="E170" s="4"/>
      <c r="F170" s="4"/>
      <c r="G170" s="4"/>
      <c r="H170" s="4"/>
      <c r="I170" s="4"/>
      <c r="J170" s="4"/>
      <c r="K170" s="4"/>
      <c r="L170" s="4"/>
      <c r="M170" s="4"/>
      <c r="N170" s="4"/>
      <c r="O170" s="4"/>
      <c r="P170" s="4"/>
      <c r="Q170" s="4"/>
      <c r="R170" s="4"/>
    </row>
    <row r="171" spans="1:18">
      <c r="A171" s="4"/>
      <c r="B171" s="4"/>
      <c r="C171" s="9"/>
      <c r="D171" s="4"/>
      <c r="E171" s="4"/>
      <c r="F171" s="4"/>
      <c r="G171" s="4"/>
      <c r="H171" s="4"/>
      <c r="I171" s="4"/>
      <c r="J171" s="4"/>
      <c r="K171" s="4"/>
      <c r="L171" s="4"/>
      <c r="M171" s="4"/>
      <c r="N171" s="4"/>
      <c r="O171" s="4"/>
      <c r="P171" s="4"/>
      <c r="Q171" s="4"/>
      <c r="R171" s="4"/>
    </row>
    <row r="172" spans="1:18">
      <c r="A172" s="4"/>
      <c r="B172" s="4"/>
      <c r="C172" s="9"/>
      <c r="D172" s="4"/>
      <c r="E172" s="4"/>
      <c r="F172" s="4"/>
      <c r="G172" s="4"/>
      <c r="H172" s="4"/>
      <c r="I172" s="4"/>
      <c r="J172" s="4"/>
      <c r="K172" s="4"/>
      <c r="L172" s="4"/>
      <c r="M172" s="4"/>
      <c r="N172" s="4"/>
      <c r="O172" s="4"/>
      <c r="P172" s="4"/>
      <c r="Q172" s="4"/>
      <c r="R172" s="4"/>
    </row>
    <row r="173" spans="1:18">
      <c r="A173" s="4"/>
      <c r="B173" s="4"/>
      <c r="C173" s="9"/>
      <c r="D173" s="4"/>
      <c r="E173" s="4"/>
      <c r="F173" s="4"/>
      <c r="G173" s="4"/>
      <c r="H173" s="4"/>
      <c r="I173" s="4"/>
      <c r="J173" s="4"/>
      <c r="K173" s="4"/>
      <c r="L173" s="4"/>
      <c r="M173" s="4"/>
      <c r="N173" s="4"/>
      <c r="O173" s="4"/>
      <c r="P173" s="4"/>
      <c r="Q173" s="4"/>
      <c r="R173" s="4"/>
    </row>
    <row r="174" spans="1:18">
      <c r="A174" s="4"/>
      <c r="B174" s="4"/>
      <c r="C174" s="9"/>
      <c r="D174" s="4"/>
      <c r="E174" s="4"/>
      <c r="F174" s="4"/>
      <c r="G174" s="4"/>
      <c r="H174" s="4"/>
      <c r="I174" s="4"/>
      <c r="J174" s="4"/>
      <c r="K174" s="4"/>
      <c r="L174" s="4"/>
      <c r="M174" s="4"/>
      <c r="N174" s="4"/>
      <c r="O174" s="4"/>
      <c r="P174" s="4"/>
      <c r="Q174" s="4"/>
      <c r="R174" s="4"/>
    </row>
    <row r="175" spans="1:18">
      <c r="A175" s="4"/>
      <c r="B175" s="4"/>
      <c r="C175" s="9"/>
      <c r="D175" s="4"/>
      <c r="E175" s="4"/>
      <c r="F175" s="4"/>
      <c r="G175" s="4"/>
      <c r="H175" s="4"/>
      <c r="I175" s="4"/>
      <c r="J175" s="4"/>
      <c r="K175" s="4"/>
      <c r="L175" s="4"/>
      <c r="M175" s="4"/>
      <c r="N175" s="4"/>
      <c r="O175" s="4"/>
      <c r="P175" s="4"/>
      <c r="Q175" s="4"/>
      <c r="R175" s="4"/>
    </row>
    <row r="176" spans="1:18">
      <c r="A176" s="4"/>
      <c r="B176" s="4"/>
      <c r="C176" s="9"/>
      <c r="D176" s="4"/>
      <c r="E176" s="4"/>
      <c r="F176" s="4"/>
      <c r="G176" s="4"/>
      <c r="H176" s="4"/>
      <c r="I176" s="4"/>
      <c r="J176" s="4"/>
      <c r="K176" s="4"/>
      <c r="L176" s="4"/>
      <c r="M176" s="4"/>
      <c r="N176" s="4"/>
      <c r="O176" s="4"/>
      <c r="P176" s="4"/>
      <c r="Q176" s="4"/>
      <c r="R176" s="4"/>
    </row>
    <row r="177" spans="1:18">
      <c r="A177" s="4"/>
      <c r="B177" s="4"/>
      <c r="C177" s="9"/>
      <c r="D177" s="4"/>
      <c r="E177" s="4"/>
      <c r="F177" s="4"/>
      <c r="G177" s="4"/>
      <c r="H177" s="4"/>
      <c r="I177" s="4"/>
      <c r="J177" s="4"/>
      <c r="K177" s="4"/>
      <c r="L177" s="4"/>
      <c r="M177" s="4"/>
      <c r="N177" s="4"/>
      <c r="O177" s="4"/>
      <c r="P177" s="4"/>
      <c r="Q177" s="4"/>
      <c r="R177" s="4"/>
    </row>
    <row r="178" spans="1:18">
      <c r="A178" s="4"/>
      <c r="B178" s="4"/>
      <c r="C178" s="9"/>
      <c r="D178" s="4"/>
      <c r="E178" s="4"/>
      <c r="F178" s="4"/>
      <c r="G178" s="4"/>
      <c r="H178" s="4"/>
      <c r="I178" s="4"/>
      <c r="J178" s="4"/>
      <c r="K178" s="4"/>
      <c r="L178" s="4"/>
      <c r="M178" s="4"/>
      <c r="N178" s="4"/>
      <c r="O178" s="4"/>
      <c r="P178" s="4"/>
      <c r="Q178" s="4"/>
      <c r="R178" s="4"/>
    </row>
    <row r="179" spans="1:18">
      <c r="A179" s="4"/>
      <c r="B179" s="4"/>
      <c r="C179" s="9"/>
      <c r="D179" s="4"/>
      <c r="E179" s="4"/>
      <c r="F179" s="4"/>
      <c r="G179" s="4"/>
      <c r="H179" s="4"/>
      <c r="I179" s="4"/>
      <c r="J179" s="4"/>
      <c r="K179" s="4"/>
      <c r="L179" s="4"/>
      <c r="M179" s="4"/>
      <c r="N179" s="4"/>
      <c r="O179" s="4"/>
      <c r="P179" s="4"/>
      <c r="Q179" s="4"/>
      <c r="R179" s="4"/>
    </row>
    <row r="180" spans="1:18">
      <c r="A180" s="4"/>
      <c r="B180" s="4"/>
      <c r="C180" s="9"/>
      <c r="D180" s="4"/>
      <c r="E180" s="4"/>
      <c r="F180" s="4"/>
      <c r="G180" s="4"/>
      <c r="H180" s="4"/>
      <c r="I180" s="4"/>
      <c r="J180" s="4"/>
      <c r="K180" s="4"/>
      <c r="L180" s="4"/>
      <c r="M180" s="4"/>
      <c r="N180" s="4"/>
      <c r="O180" s="4"/>
      <c r="P180" s="4"/>
      <c r="Q180" s="4"/>
      <c r="R180" s="4"/>
    </row>
    <row r="181" spans="1:18">
      <c r="A181" s="4"/>
      <c r="B181" s="4"/>
      <c r="C181" s="9"/>
      <c r="D181" s="4"/>
      <c r="E181" s="4"/>
      <c r="F181" s="4"/>
      <c r="G181" s="4"/>
      <c r="H181" s="4"/>
      <c r="I181" s="4"/>
      <c r="J181" s="4"/>
      <c r="K181" s="4"/>
      <c r="L181" s="4"/>
      <c r="M181" s="4"/>
      <c r="N181" s="4"/>
      <c r="O181" s="4"/>
      <c r="P181" s="4"/>
      <c r="Q181" s="4"/>
      <c r="R181" s="4"/>
    </row>
    <row r="182" spans="1:18">
      <c r="A182" s="4"/>
      <c r="B182" s="4"/>
      <c r="C182" s="9"/>
      <c r="D182" s="4"/>
      <c r="E182" s="4"/>
      <c r="F182" s="4"/>
      <c r="G182" s="4"/>
      <c r="H182" s="4"/>
      <c r="I182" s="4"/>
      <c r="J182" s="4"/>
      <c r="K182" s="4"/>
      <c r="L182" s="4"/>
      <c r="M182" s="4"/>
      <c r="N182" s="4"/>
      <c r="O182" s="4"/>
      <c r="P182" s="4"/>
      <c r="Q182" s="4"/>
      <c r="R182" s="4"/>
    </row>
    <row r="183" spans="1:18">
      <c r="A183" s="4"/>
      <c r="B183" s="4"/>
      <c r="C183" s="9"/>
      <c r="D183" s="4"/>
      <c r="E183" s="4"/>
      <c r="F183" s="4"/>
      <c r="G183" s="4"/>
      <c r="H183" s="4"/>
      <c r="I183" s="4"/>
      <c r="J183" s="4"/>
      <c r="K183" s="4"/>
      <c r="L183" s="4"/>
      <c r="M183" s="4"/>
      <c r="N183" s="4"/>
      <c r="O183" s="4"/>
      <c r="P183" s="4"/>
      <c r="Q183" s="4"/>
      <c r="R183" s="4"/>
    </row>
    <row r="184" spans="1:18">
      <c r="A184" s="4"/>
      <c r="B184" s="4"/>
      <c r="C184" s="9"/>
      <c r="D184" s="4"/>
      <c r="E184" s="4"/>
      <c r="F184" s="4"/>
      <c r="G184" s="4"/>
      <c r="H184" s="4"/>
      <c r="I184" s="4"/>
      <c r="J184" s="4"/>
      <c r="K184" s="4"/>
      <c r="L184" s="4"/>
      <c r="M184" s="4"/>
      <c r="N184" s="4"/>
      <c r="O184" s="4"/>
      <c r="P184" s="4"/>
      <c r="Q184" s="4"/>
      <c r="R184" s="4"/>
    </row>
    <row r="185" spans="1:18">
      <c r="A185" s="4"/>
      <c r="B185" s="4"/>
      <c r="C185" s="9"/>
      <c r="D185" s="4"/>
      <c r="E185" s="4"/>
      <c r="F185" s="4"/>
      <c r="G185" s="4"/>
      <c r="H185" s="4"/>
      <c r="I185" s="4"/>
      <c r="J185" s="4"/>
      <c r="K185" s="4"/>
      <c r="L185" s="4"/>
      <c r="M185" s="4"/>
      <c r="N185" s="4"/>
      <c r="O185" s="4"/>
      <c r="P185" s="4"/>
      <c r="Q185" s="4"/>
      <c r="R185" s="4"/>
    </row>
    <row r="186" spans="1:18">
      <c r="A186" s="4"/>
      <c r="B186" s="4"/>
      <c r="C186" s="9"/>
      <c r="D186" s="4"/>
      <c r="E186" s="4"/>
      <c r="F186" s="4"/>
      <c r="G186" s="4"/>
      <c r="H186" s="4"/>
      <c r="I186" s="4"/>
      <c r="J186" s="4"/>
      <c r="K186" s="4"/>
      <c r="L186" s="4"/>
      <c r="M186" s="4"/>
      <c r="N186" s="4"/>
      <c r="O186" s="4"/>
      <c r="P186" s="4"/>
      <c r="Q186" s="4"/>
      <c r="R186" s="4"/>
    </row>
    <row r="187" spans="1:18">
      <c r="A187" s="4"/>
      <c r="B187" s="4"/>
      <c r="C187" s="9"/>
      <c r="D187" s="4"/>
      <c r="E187" s="4"/>
      <c r="F187" s="4"/>
      <c r="G187" s="4"/>
      <c r="H187" s="4"/>
      <c r="I187" s="4"/>
      <c r="J187" s="4"/>
      <c r="K187" s="4"/>
      <c r="L187" s="4"/>
      <c r="M187" s="4"/>
      <c r="N187" s="4"/>
      <c r="O187" s="4"/>
      <c r="P187" s="4"/>
      <c r="Q187" s="4"/>
      <c r="R187" s="4"/>
    </row>
    <row r="188" spans="1:18">
      <c r="A188" s="4"/>
      <c r="B188" s="4"/>
      <c r="C188" s="9"/>
      <c r="D188" s="4"/>
      <c r="E188" s="4"/>
      <c r="F188" s="4"/>
      <c r="G188" s="4"/>
      <c r="H188" s="4"/>
      <c r="I188" s="4"/>
      <c r="J188" s="4"/>
      <c r="K188" s="4"/>
      <c r="L188" s="4"/>
      <c r="M188" s="4"/>
      <c r="N188" s="4"/>
      <c r="O188" s="4"/>
      <c r="P188" s="4"/>
      <c r="Q188" s="4"/>
      <c r="R188" s="4"/>
    </row>
    <row r="189" spans="1:18">
      <c r="A189" s="4"/>
      <c r="B189" s="4"/>
      <c r="C189" s="9"/>
      <c r="D189" s="4"/>
      <c r="E189" s="4"/>
      <c r="F189" s="4"/>
      <c r="G189" s="4"/>
      <c r="H189" s="4"/>
      <c r="I189" s="4"/>
      <c r="J189" s="4"/>
      <c r="K189" s="4"/>
      <c r="L189" s="4"/>
      <c r="M189" s="4"/>
      <c r="N189" s="4"/>
      <c r="O189" s="4"/>
      <c r="P189" s="4"/>
      <c r="Q189" s="4"/>
      <c r="R189" s="4"/>
    </row>
    <row r="190" spans="1:18">
      <c r="A190" s="4"/>
      <c r="B190" s="4"/>
      <c r="C190" s="9"/>
      <c r="D190" s="4"/>
      <c r="E190" s="4"/>
      <c r="F190" s="4"/>
      <c r="G190" s="4"/>
      <c r="H190" s="4"/>
      <c r="I190" s="4"/>
      <c r="J190" s="4"/>
      <c r="K190" s="4"/>
      <c r="L190" s="4"/>
      <c r="M190" s="4"/>
      <c r="N190" s="4"/>
      <c r="O190" s="4"/>
      <c r="P190" s="4"/>
      <c r="Q190" s="4"/>
      <c r="R190" s="4"/>
    </row>
    <row r="191" spans="1:18">
      <c r="A191" s="4"/>
      <c r="B191" s="4"/>
      <c r="C191" s="9"/>
      <c r="D191" s="4"/>
      <c r="E191" s="4"/>
      <c r="F191" s="4"/>
      <c r="G191" s="4"/>
      <c r="H191" s="4"/>
      <c r="I191" s="4"/>
      <c r="J191" s="4"/>
      <c r="K191" s="4"/>
      <c r="L191" s="4"/>
      <c r="M191" s="4"/>
      <c r="N191" s="4"/>
      <c r="O191" s="4"/>
      <c r="P191" s="4"/>
      <c r="Q191" s="4"/>
      <c r="R191" s="4"/>
    </row>
    <row r="192" spans="1:18">
      <c r="A192" s="4"/>
      <c r="B192" s="4"/>
      <c r="C192" s="9"/>
      <c r="D192" s="4"/>
      <c r="E192" s="4"/>
      <c r="F192" s="4"/>
      <c r="G192" s="4"/>
      <c r="H192" s="4"/>
      <c r="I192" s="4"/>
      <c r="J192" s="4"/>
      <c r="K192" s="4"/>
      <c r="L192" s="4"/>
      <c r="M192" s="4"/>
      <c r="N192" s="4"/>
      <c r="O192" s="4"/>
      <c r="P192" s="4"/>
      <c r="Q192" s="4"/>
      <c r="R192" s="4"/>
    </row>
    <row r="193" spans="1:18">
      <c r="A193" s="4"/>
      <c r="B193" s="4"/>
      <c r="C193" s="9"/>
      <c r="D193" s="4"/>
      <c r="E193" s="4"/>
      <c r="F193" s="4"/>
      <c r="G193" s="4"/>
      <c r="H193" s="4"/>
      <c r="I193" s="4"/>
      <c r="J193" s="4"/>
      <c r="K193" s="4"/>
      <c r="L193" s="4"/>
      <c r="M193" s="4"/>
      <c r="N193" s="4"/>
      <c r="O193" s="4"/>
      <c r="P193" s="4"/>
      <c r="Q193" s="4"/>
      <c r="R193" s="4"/>
    </row>
    <row r="194" spans="1:18">
      <c r="A194" s="4"/>
      <c r="B194" s="4"/>
      <c r="C194" s="9"/>
      <c r="D194" s="4"/>
      <c r="E194" s="4"/>
      <c r="F194" s="4"/>
      <c r="G194" s="4"/>
      <c r="H194" s="4"/>
      <c r="I194" s="4"/>
      <c r="J194" s="4"/>
      <c r="K194" s="4"/>
      <c r="L194" s="4"/>
      <c r="M194" s="4"/>
      <c r="N194" s="4"/>
      <c r="O194" s="4"/>
      <c r="P194" s="4"/>
      <c r="Q194" s="4"/>
      <c r="R194" s="4"/>
    </row>
    <row r="195" spans="1:18">
      <c r="A195" s="4"/>
      <c r="B195" s="4"/>
      <c r="C195" s="9"/>
      <c r="D195" s="4"/>
      <c r="E195" s="4"/>
      <c r="F195" s="4"/>
      <c r="G195" s="4"/>
      <c r="H195" s="4"/>
      <c r="I195" s="4"/>
      <c r="J195" s="4"/>
      <c r="K195" s="4"/>
      <c r="L195" s="4"/>
      <c r="M195" s="4"/>
      <c r="N195" s="4"/>
      <c r="O195" s="4"/>
      <c r="P195" s="4"/>
      <c r="Q195" s="4"/>
      <c r="R195" s="4"/>
    </row>
    <row r="196" spans="1:18">
      <c r="A196" s="4"/>
      <c r="B196" s="4"/>
      <c r="C196" s="9"/>
      <c r="D196" s="4"/>
      <c r="E196" s="4"/>
      <c r="F196" s="4"/>
      <c r="G196" s="4"/>
      <c r="H196" s="4"/>
      <c r="I196" s="4"/>
      <c r="J196" s="4"/>
      <c r="K196" s="4"/>
      <c r="L196" s="4"/>
      <c r="M196" s="4"/>
      <c r="N196" s="4"/>
      <c r="O196" s="4"/>
      <c r="P196" s="4"/>
      <c r="Q196" s="4"/>
      <c r="R196" s="4"/>
    </row>
    <row r="197" spans="1:18">
      <c r="A197" s="4"/>
      <c r="B197" s="4"/>
      <c r="C197" s="9"/>
      <c r="D197" s="4"/>
      <c r="E197" s="4"/>
      <c r="F197" s="4"/>
      <c r="G197" s="4"/>
      <c r="H197" s="4"/>
      <c r="I197" s="4"/>
      <c r="J197" s="4"/>
      <c r="K197" s="4"/>
      <c r="L197" s="4"/>
      <c r="M197" s="4"/>
      <c r="N197" s="4"/>
      <c r="O197" s="4"/>
      <c r="P197" s="4"/>
      <c r="Q197" s="4"/>
      <c r="R197" s="4"/>
    </row>
    <row r="198" spans="1:18">
      <c r="A198" s="4"/>
      <c r="B198" s="4"/>
      <c r="C198" s="9"/>
      <c r="D198" s="4"/>
      <c r="E198" s="4"/>
      <c r="F198" s="4"/>
      <c r="G198" s="4"/>
      <c r="H198" s="4"/>
      <c r="I198" s="4"/>
      <c r="J198" s="4"/>
      <c r="K198" s="4"/>
      <c r="L198" s="4"/>
      <c r="M198" s="4"/>
      <c r="N198" s="4"/>
      <c r="O198" s="4"/>
      <c r="P198" s="4"/>
      <c r="Q198" s="4"/>
      <c r="R198" s="4"/>
    </row>
    <row r="199" spans="1:18">
      <c r="A199" s="4"/>
      <c r="B199" s="4"/>
      <c r="C199" s="9"/>
      <c r="D199" s="4"/>
      <c r="E199" s="4"/>
      <c r="F199" s="4"/>
      <c r="G199" s="4"/>
      <c r="H199" s="4"/>
      <c r="I199" s="4"/>
      <c r="J199" s="4"/>
      <c r="K199" s="4"/>
      <c r="L199" s="4"/>
      <c r="M199" s="4"/>
      <c r="N199" s="4"/>
      <c r="O199" s="4"/>
      <c r="P199" s="4"/>
      <c r="Q199" s="4"/>
      <c r="R199" s="4"/>
    </row>
    <row r="200" spans="1:18">
      <c r="A200" s="4"/>
      <c r="B200" s="4"/>
      <c r="C200" s="9"/>
      <c r="D200" s="4"/>
      <c r="E200" s="4"/>
      <c r="F200" s="4"/>
      <c r="G200" s="4"/>
      <c r="H200" s="4"/>
      <c r="I200" s="4"/>
      <c r="J200" s="4"/>
      <c r="K200" s="4"/>
      <c r="L200" s="4"/>
      <c r="M200" s="4"/>
      <c r="N200" s="4"/>
      <c r="O200" s="4"/>
      <c r="P200" s="4"/>
      <c r="Q200" s="4"/>
      <c r="R200" s="4"/>
    </row>
    <row r="201" spans="1:18">
      <c r="A201" s="4"/>
      <c r="B201" s="4"/>
      <c r="C201" s="9"/>
      <c r="D201" s="4"/>
      <c r="E201" s="4"/>
      <c r="F201" s="4"/>
      <c r="G201" s="4"/>
      <c r="H201" s="4"/>
      <c r="I201" s="4"/>
      <c r="J201" s="4"/>
      <c r="K201" s="4"/>
      <c r="L201" s="4"/>
      <c r="M201" s="4"/>
      <c r="N201" s="4"/>
      <c r="O201" s="4"/>
      <c r="P201" s="4"/>
      <c r="Q201" s="4"/>
      <c r="R201" s="4"/>
    </row>
    <row r="202" spans="1:18">
      <c r="A202" s="4"/>
      <c r="B202" s="4"/>
      <c r="C202" s="9"/>
      <c r="D202" s="4"/>
      <c r="E202" s="4"/>
      <c r="F202" s="4"/>
      <c r="G202" s="4"/>
      <c r="H202" s="4"/>
      <c r="I202" s="4"/>
      <c r="J202" s="4"/>
      <c r="K202" s="4"/>
      <c r="L202" s="4"/>
      <c r="M202" s="4"/>
      <c r="N202" s="4"/>
      <c r="O202" s="4"/>
      <c r="P202" s="4"/>
      <c r="Q202" s="4"/>
      <c r="R202" s="4"/>
    </row>
    <row r="203" spans="1:18">
      <c r="A203" s="4"/>
      <c r="B203" s="4"/>
      <c r="C203" s="9"/>
      <c r="D203" s="4"/>
      <c r="E203" s="4"/>
      <c r="F203" s="4"/>
      <c r="G203" s="4"/>
      <c r="H203" s="4"/>
      <c r="I203" s="4"/>
      <c r="J203" s="4"/>
      <c r="K203" s="4"/>
      <c r="L203" s="4"/>
      <c r="M203" s="4"/>
      <c r="N203" s="4"/>
      <c r="O203" s="4"/>
      <c r="P203" s="4"/>
      <c r="Q203" s="4"/>
      <c r="R203" s="4"/>
    </row>
    <row r="204" spans="1:18">
      <c r="A204" s="4"/>
      <c r="B204" s="4"/>
      <c r="C204" s="9"/>
      <c r="D204" s="4"/>
      <c r="E204" s="4"/>
      <c r="F204" s="4"/>
      <c r="G204" s="4"/>
      <c r="H204" s="4"/>
      <c r="I204" s="4"/>
      <c r="J204" s="4"/>
      <c r="K204" s="4"/>
      <c r="L204" s="4"/>
      <c r="M204" s="4"/>
      <c r="N204" s="4"/>
      <c r="O204" s="4"/>
      <c r="P204" s="4"/>
      <c r="Q204" s="4"/>
      <c r="R204" s="4"/>
    </row>
    <row r="205" spans="1:18">
      <c r="A205" s="4"/>
      <c r="B205" s="4"/>
      <c r="C205" s="9"/>
      <c r="D205" s="4"/>
      <c r="E205" s="4"/>
      <c r="F205" s="4"/>
      <c r="G205" s="4"/>
      <c r="H205" s="4"/>
      <c r="I205" s="4"/>
      <c r="J205" s="4"/>
      <c r="K205" s="4"/>
      <c r="L205" s="4"/>
      <c r="M205" s="4"/>
      <c r="N205" s="4"/>
      <c r="O205" s="4"/>
      <c r="P205" s="4"/>
      <c r="Q205" s="4"/>
      <c r="R205" s="4"/>
    </row>
    <row r="206" spans="1:18">
      <c r="A206" s="4"/>
      <c r="B206" s="4"/>
      <c r="C206" s="9"/>
      <c r="D206" s="4"/>
      <c r="E206" s="4"/>
      <c r="F206" s="4"/>
      <c r="G206" s="4"/>
      <c r="H206" s="4"/>
      <c r="I206" s="4"/>
      <c r="J206" s="4"/>
      <c r="K206" s="4"/>
      <c r="L206" s="4"/>
      <c r="M206" s="4"/>
      <c r="N206" s="4"/>
      <c r="O206" s="4"/>
      <c r="P206" s="4"/>
      <c r="Q206" s="4"/>
      <c r="R206" s="4"/>
    </row>
    <row r="207" spans="1:18">
      <c r="A207" s="4"/>
      <c r="B207" s="4"/>
      <c r="C207" s="9"/>
      <c r="D207" s="4"/>
      <c r="E207" s="4"/>
      <c r="F207" s="4"/>
      <c r="G207" s="4"/>
      <c r="H207" s="4"/>
      <c r="I207" s="4"/>
      <c r="J207" s="4"/>
      <c r="K207" s="4"/>
      <c r="L207" s="4"/>
      <c r="M207" s="4"/>
      <c r="N207" s="4"/>
      <c r="O207" s="4"/>
      <c r="P207" s="4"/>
      <c r="Q207" s="4"/>
      <c r="R207" s="4"/>
    </row>
    <row r="208" spans="1:18">
      <c r="A208" s="4"/>
      <c r="B208" s="4"/>
      <c r="C208" s="9"/>
      <c r="D208" s="4"/>
      <c r="E208" s="4"/>
      <c r="F208" s="4"/>
      <c r="G208" s="4"/>
      <c r="H208" s="4"/>
      <c r="I208" s="4"/>
      <c r="J208" s="4"/>
      <c r="K208" s="4"/>
      <c r="L208" s="4"/>
      <c r="M208" s="4"/>
      <c r="N208" s="4"/>
      <c r="O208" s="4"/>
      <c r="P208" s="4"/>
      <c r="Q208" s="4"/>
      <c r="R208" s="4"/>
    </row>
    <row r="209" spans="1:18">
      <c r="A209" s="4"/>
      <c r="B209" s="4"/>
      <c r="C209" s="9"/>
      <c r="D209" s="4"/>
      <c r="E209" s="4"/>
      <c r="F209" s="4"/>
      <c r="G209" s="4"/>
      <c r="H209" s="4"/>
      <c r="I209" s="4"/>
      <c r="J209" s="4"/>
      <c r="K209" s="4"/>
      <c r="L209" s="4"/>
      <c r="M209" s="4"/>
      <c r="N209" s="4"/>
      <c r="O209" s="4"/>
      <c r="P209" s="4"/>
      <c r="Q209" s="4"/>
      <c r="R209" s="4"/>
    </row>
    <row r="210" spans="1:18">
      <c r="A210" s="4"/>
      <c r="B210" s="4"/>
      <c r="C210" s="9"/>
      <c r="D210" s="4"/>
      <c r="E210" s="4"/>
      <c r="F210" s="4"/>
      <c r="G210" s="4"/>
      <c r="H210" s="4"/>
      <c r="I210" s="4"/>
      <c r="J210" s="4"/>
      <c r="K210" s="4"/>
      <c r="L210" s="4"/>
      <c r="M210" s="4"/>
      <c r="N210" s="4"/>
      <c r="O210" s="4"/>
      <c r="P210" s="4"/>
      <c r="Q210" s="4"/>
      <c r="R210" s="4"/>
    </row>
    <row r="211" spans="1:18">
      <c r="A211" s="4"/>
      <c r="B211" s="4"/>
      <c r="C211" s="9"/>
      <c r="D211" s="4"/>
      <c r="E211" s="4"/>
      <c r="F211" s="4"/>
      <c r="G211" s="4"/>
      <c r="H211" s="4"/>
      <c r="I211" s="4"/>
      <c r="J211" s="4"/>
      <c r="K211" s="4"/>
      <c r="L211" s="4"/>
      <c r="M211" s="4"/>
      <c r="N211" s="4"/>
      <c r="O211" s="4"/>
      <c r="P211" s="4"/>
      <c r="Q211" s="4"/>
      <c r="R211" s="4"/>
    </row>
    <row r="212" spans="1:18">
      <c r="A212" s="4"/>
      <c r="B212" s="4"/>
      <c r="C212" s="9"/>
      <c r="D212" s="4"/>
      <c r="E212" s="4"/>
      <c r="F212" s="4"/>
      <c r="G212" s="4"/>
      <c r="H212" s="4"/>
      <c r="I212" s="4"/>
      <c r="J212" s="4"/>
      <c r="K212" s="4"/>
      <c r="L212" s="4"/>
      <c r="M212" s="4"/>
      <c r="N212" s="4"/>
      <c r="O212" s="4"/>
      <c r="P212" s="4"/>
      <c r="Q212" s="4"/>
      <c r="R212" s="4"/>
    </row>
    <row r="213" spans="1:18">
      <c r="A213" s="4"/>
      <c r="B213" s="4"/>
      <c r="C213" s="9"/>
      <c r="D213" s="4"/>
      <c r="E213" s="4"/>
      <c r="F213" s="4"/>
      <c r="G213" s="4"/>
      <c r="H213" s="4"/>
      <c r="I213" s="4"/>
      <c r="J213" s="4"/>
      <c r="K213" s="4"/>
      <c r="L213" s="4"/>
      <c r="M213" s="4"/>
      <c r="N213" s="4"/>
      <c r="O213" s="4"/>
      <c r="P213" s="4"/>
      <c r="Q213" s="4"/>
      <c r="R213" s="4"/>
    </row>
    <row r="214" spans="1:18">
      <c r="A214" s="4"/>
      <c r="B214" s="4"/>
      <c r="C214" s="9"/>
      <c r="D214" s="4"/>
      <c r="E214" s="4"/>
      <c r="F214" s="4"/>
      <c r="G214" s="4"/>
      <c r="H214" s="4"/>
      <c r="I214" s="4"/>
      <c r="J214" s="4"/>
      <c r="K214" s="4"/>
      <c r="L214" s="4"/>
      <c r="M214" s="4"/>
      <c r="N214" s="4"/>
      <c r="O214" s="4"/>
      <c r="P214" s="4"/>
      <c r="Q214" s="4"/>
      <c r="R214" s="4"/>
    </row>
    <row r="215" spans="1:18">
      <c r="A215" s="4"/>
      <c r="B215" s="4"/>
      <c r="C215" s="9"/>
      <c r="D215" s="4"/>
      <c r="E215" s="4"/>
      <c r="F215" s="4"/>
      <c r="G215" s="4"/>
      <c r="H215" s="4"/>
      <c r="I215" s="4"/>
      <c r="J215" s="4"/>
      <c r="K215" s="4"/>
      <c r="L215" s="4"/>
      <c r="M215" s="4"/>
      <c r="N215" s="4"/>
      <c r="O215" s="4"/>
      <c r="P215" s="4"/>
      <c r="Q215" s="4"/>
      <c r="R215" s="4"/>
    </row>
    <row r="216" spans="1:18">
      <c r="A216" s="4"/>
      <c r="B216" s="4"/>
      <c r="C216" s="9"/>
      <c r="D216" s="4"/>
      <c r="E216" s="4"/>
      <c r="F216" s="4"/>
      <c r="G216" s="4"/>
      <c r="H216" s="4"/>
      <c r="I216" s="4"/>
      <c r="J216" s="4"/>
      <c r="K216" s="4"/>
      <c r="L216" s="4"/>
      <c r="M216" s="4"/>
      <c r="N216" s="4"/>
      <c r="O216" s="4"/>
      <c r="P216" s="4"/>
      <c r="Q216" s="4"/>
      <c r="R216" s="4"/>
    </row>
  </sheetData>
  <phoneticPr fontId="3" type="noConversion"/>
  <printOptions horizontalCentered="1" verticalCentered="1"/>
  <pageMargins left="0.25" right="0.25" top="0.25" bottom="0.25" header="0" footer="0"/>
  <pageSetup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defaultRowHeight="13.2"/>
  <cols>
    <col min="1" max="1" width="30.5546875" customWidth="1"/>
    <col min="10" max="10" width="9" customWidth="1"/>
  </cols>
  <sheetData>
    <row r="1" spans="1:10">
      <c r="A1" s="11" t="s">
        <v>195</v>
      </c>
    </row>
    <row r="2" spans="1:10">
      <c r="A2" s="36" t="s">
        <v>89</v>
      </c>
      <c r="B2" s="38">
        <f>0.9</f>
        <v>0.9</v>
      </c>
    </row>
    <row r="3" spans="1:10">
      <c r="A3" s="36" t="s">
        <v>90</v>
      </c>
      <c r="B3" s="37">
        <v>0.06</v>
      </c>
    </row>
    <row r="4" spans="1:10">
      <c r="A4" s="36" t="s">
        <v>91</v>
      </c>
      <c r="B4" s="38">
        <v>0.5</v>
      </c>
    </row>
    <row r="5" spans="1:10">
      <c r="A5" t="s">
        <v>163</v>
      </c>
      <c r="B5" s="15">
        <v>0.03</v>
      </c>
    </row>
    <row r="6" spans="1:10">
      <c r="A6" t="s">
        <v>106</v>
      </c>
    </row>
    <row r="7" spans="1:10">
      <c r="C7" s="11" t="s">
        <v>156</v>
      </c>
      <c r="D7" s="11"/>
      <c r="E7" s="11"/>
      <c r="F7" s="11" t="s">
        <v>157</v>
      </c>
      <c r="G7" s="11" t="s">
        <v>158</v>
      </c>
      <c r="H7" s="11" t="s">
        <v>159</v>
      </c>
      <c r="I7" s="11" t="s">
        <v>164</v>
      </c>
      <c r="J7" s="11" t="s">
        <v>165</v>
      </c>
    </row>
    <row r="8" spans="1:10">
      <c r="A8" t="s">
        <v>78</v>
      </c>
      <c r="C8" s="11" t="s">
        <v>160</v>
      </c>
      <c r="D8" s="11" t="s">
        <v>161</v>
      </c>
      <c r="E8" s="11" t="s">
        <v>162</v>
      </c>
      <c r="F8" s="11"/>
      <c r="G8" s="11"/>
      <c r="H8" s="11"/>
    </row>
    <row r="9" spans="1:10">
      <c r="A9" t="s">
        <v>92</v>
      </c>
      <c r="C9" s="15">
        <f>'Splits Analysis Expected'!B41</f>
        <v>0.25000000000000022</v>
      </c>
      <c r="D9" s="15">
        <f>'Optimistic Splits'!B41</f>
        <v>0.50000000000000044</v>
      </c>
      <c r="E9" s="15">
        <f>'Pessiimistic Splits'!B41</f>
        <v>2.2204460492503131E-16</v>
      </c>
      <c r="F9" s="15">
        <f>D9-E9</f>
        <v>0.50000000000000022</v>
      </c>
      <c r="G9" s="15">
        <f>C9-B$5</f>
        <v>0.22000000000000022</v>
      </c>
      <c r="H9" s="88">
        <f>G9/F9</f>
        <v>0.44000000000000022</v>
      </c>
      <c r="I9" s="15">
        <f>C9-E9</f>
        <v>0.25</v>
      </c>
      <c r="J9" s="88">
        <f>G9/I9</f>
        <v>0.88000000000000089</v>
      </c>
    </row>
    <row r="10" spans="1:10">
      <c r="A10" t="s">
        <v>94</v>
      </c>
      <c r="C10" s="15">
        <f>'Splits Analysis Expected'!B43</f>
        <v>6.5374293555781948E-2</v>
      </c>
      <c r="D10" s="15">
        <f>'Optimistic Splits'!B43</f>
        <v>0.10588332632159858</v>
      </c>
      <c r="E10" s="15">
        <f>'Pessiimistic Splits'!B43</f>
        <v>3.1367638628587713E-2</v>
      </c>
      <c r="F10" s="15">
        <f>D10-E10</f>
        <v>7.4515687693010868E-2</v>
      </c>
      <c r="G10" s="15">
        <f>C10-B$5</f>
        <v>3.5374293555781949E-2</v>
      </c>
      <c r="H10" s="88">
        <f>G10/F10</f>
        <v>0.47472276846610717</v>
      </c>
      <c r="I10" s="15">
        <f>C10-E10</f>
        <v>3.4006654927194235E-2</v>
      </c>
      <c r="J10" s="88">
        <f>G10/I10</f>
        <v>1.0402167937868552</v>
      </c>
    </row>
    <row r="12" spans="1:10">
      <c r="A12" t="s">
        <v>80</v>
      </c>
    </row>
    <row r="13" spans="1:10">
      <c r="A13" t="s">
        <v>92</v>
      </c>
      <c r="C13" s="15">
        <f>'Splits Analysis Expected'!B48</f>
        <v>0.25000000000000022</v>
      </c>
      <c r="D13" s="15">
        <f>'Optimistic Splits'!B48</f>
        <v>0.50000000000000044</v>
      </c>
      <c r="E13" s="15">
        <f>'Pessiimistic Splits'!B48</f>
        <v>2.2204460492503131E-16</v>
      </c>
      <c r="F13" s="15">
        <f>D13-E13</f>
        <v>0.50000000000000022</v>
      </c>
      <c r="G13" s="15">
        <f>C13-B$5</f>
        <v>0.22000000000000022</v>
      </c>
      <c r="H13" s="88">
        <f>G13/F13</f>
        <v>0.44000000000000022</v>
      </c>
      <c r="I13" s="15">
        <f>C13-E13</f>
        <v>0.25</v>
      </c>
      <c r="J13" s="88">
        <f>G13/I13</f>
        <v>0.88000000000000089</v>
      </c>
    </row>
    <row r="14" spans="1:10">
      <c r="A14" t="s">
        <v>94</v>
      </c>
      <c r="C14" s="15">
        <f>'Splits Analysis Expected'!B50</f>
        <v>9.0879762491388627E-2</v>
      </c>
      <c r="D14" s="15">
        <f>'Optimistic Splits'!B50</f>
        <v>0.18814943219216573</v>
      </c>
      <c r="E14" s="15">
        <f>'Pessiimistic Splits'!B50</f>
        <v>-0.10583800708214353</v>
      </c>
      <c r="F14" s="15">
        <f>D14-E14</f>
        <v>0.29398743927430926</v>
      </c>
      <c r="G14" s="15">
        <f>C14-B$5</f>
        <v>6.0879762491388628E-2</v>
      </c>
      <c r="H14" s="88">
        <f>G14/F14</f>
        <v>0.20708286939628015</v>
      </c>
      <c r="I14" s="15">
        <f>C14-E14</f>
        <v>0.19671776957353215</v>
      </c>
      <c r="J14" s="88">
        <f>G14/I14</f>
        <v>0.30947769804106112</v>
      </c>
    </row>
    <row r="16" spans="1:10">
      <c r="A16" t="s">
        <v>95</v>
      </c>
    </row>
    <row r="17" spans="1:10">
      <c r="A17" t="s">
        <v>100</v>
      </c>
      <c r="C17" s="15">
        <f>'Splits Analysis Expected'!B53</f>
        <v>0.16888888888888887</v>
      </c>
      <c r="D17" s="15">
        <f>'Optimistic Splits'!B53</f>
        <v>0.30777777777777815</v>
      </c>
      <c r="E17" s="15">
        <f>'Pessiimistic Splits'!B53</f>
        <v>6.0000000000000053E-2</v>
      </c>
      <c r="F17" s="15">
        <f>D17-E17</f>
        <v>0.2477777777777781</v>
      </c>
      <c r="G17" s="15">
        <f>C17-B$5</f>
        <v>0.13888888888888887</v>
      </c>
      <c r="H17" s="88">
        <f>G17/F17</f>
        <v>0.56053811659192743</v>
      </c>
      <c r="I17" s="15">
        <f>C17-E17</f>
        <v>0.10888888888888881</v>
      </c>
      <c r="J17" s="88">
        <f>G17/I17</f>
        <v>1.2755102040816333</v>
      </c>
    </row>
    <row r="18" spans="1:10">
      <c r="A18" t="s">
        <v>94</v>
      </c>
      <c r="C18" s="15">
        <f>'Splits Analysis Expected'!B54</f>
        <v>8.1268945889091171E-2</v>
      </c>
      <c r="D18" s="15">
        <f>'Optimistic Splits'!B54</f>
        <v>0.14957919037769485</v>
      </c>
      <c r="E18" s="15">
        <f>'Pessiimistic Splits'!B54</f>
        <v>-8.8493393775422979E-2</v>
      </c>
      <c r="F18" s="15">
        <f>D18-E18</f>
        <v>0.23807258415311783</v>
      </c>
      <c r="G18" s="15">
        <f>C18-B$5</f>
        <v>5.1268945889091172E-2</v>
      </c>
      <c r="H18" s="88">
        <f>G18/F18</f>
        <v>0.21535006255116396</v>
      </c>
      <c r="I18" s="15">
        <f>C18-E18</f>
        <v>0.16976233966451415</v>
      </c>
      <c r="J18" s="88">
        <f>G18/I18</f>
        <v>0.3020042371612533</v>
      </c>
    </row>
    <row r="20" spans="1:10">
      <c r="A20" t="s">
        <v>96</v>
      </c>
    </row>
    <row r="21" spans="1:10">
      <c r="A21" t="s">
        <v>100</v>
      </c>
      <c r="C21" s="15">
        <f>'Splits Analysis Expected'!B57</f>
        <v>0.98000000000000109</v>
      </c>
      <c r="D21" s="15">
        <f>'Optimistic Splits'!B57</f>
        <v>2.2300000000000009</v>
      </c>
      <c r="E21" s="15">
        <f>'Pessiimistic Splits'!B57</f>
        <v>-0.53999999999999693</v>
      </c>
      <c r="F21" s="15">
        <f>D21-E21</f>
        <v>2.7699999999999978</v>
      </c>
      <c r="G21" s="15">
        <f>C21-B$5</f>
        <v>0.95000000000000107</v>
      </c>
      <c r="H21" s="88">
        <f>G21/F21</f>
        <v>0.34296028880866491</v>
      </c>
      <c r="I21" s="15">
        <f>C21-E21</f>
        <v>1.519999999999998</v>
      </c>
      <c r="J21" s="88">
        <f>G21/I21</f>
        <v>0.62500000000000155</v>
      </c>
    </row>
    <row r="22" spans="1:10">
      <c r="A22" t="s">
        <v>94</v>
      </c>
      <c r="C22" s="15">
        <f>'Splits Analysis Expected'!B58</f>
        <v>0.1461791883798822</v>
      </c>
      <c r="D22" s="15">
        <f>'Optimistic Splits'!B58</f>
        <v>0.33701117344719123</v>
      </c>
      <c r="E22" s="15">
        <f>-1</f>
        <v>-1</v>
      </c>
      <c r="F22" s="15">
        <f>D22-E22</f>
        <v>1.3370111734471912</v>
      </c>
      <c r="G22" s="15">
        <f>C22-B$5</f>
        <v>0.1161791883798822</v>
      </c>
      <c r="H22" s="88">
        <f>G22/F22</f>
        <v>8.6894702667547299E-2</v>
      </c>
      <c r="I22" s="15">
        <f>C22-E22</f>
        <v>1.1461791883798822</v>
      </c>
      <c r="J22" s="88">
        <f>G22/I22</f>
        <v>0.10136215136142965</v>
      </c>
    </row>
    <row r="24" spans="1:10">
      <c r="A24" t="s">
        <v>79</v>
      </c>
    </row>
    <row r="25" spans="1:10">
      <c r="A25" t="s">
        <v>81</v>
      </c>
    </row>
  </sheetData>
  <phoneticPr fontId="3"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V8193"/>
  <sheetViews>
    <sheetView defaultGridColor="0" colorId="22" zoomScale="50" workbookViewId="0"/>
  </sheetViews>
  <sheetFormatPr defaultColWidth="12.5546875" defaultRowHeight="15.6"/>
  <cols>
    <col min="1" max="1" width="22.88671875" style="43" customWidth="1"/>
    <col min="2" max="2" width="13.44140625" style="44" customWidth="1"/>
    <col min="3" max="3" width="13.109375" style="44" customWidth="1"/>
    <col min="4" max="4" width="12.5546875" style="44"/>
    <col min="5" max="5" width="13.6640625" style="44" bestFit="1" customWidth="1"/>
    <col min="6" max="6" width="12.5546875" style="44"/>
    <col min="7" max="7" width="13.5546875" style="44" bestFit="1" customWidth="1"/>
    <col min="8" max="8" width="13.33203125" style="44" bestFit="1" customWidth="1"/>
    <col min="9" max="9" width="14.109375" style="44" bestFit="1" customWidth="1"/>
    <col min="10" max="11" width="12.5546875" style="44"/>
    <col min="12" max="12" width="14.109375" style="44" bestFit="1" customWidth="1"/>
    <col min="13" max="13" width="15.109375" style="43" customWidth="1"/>
    <col min="14" max="14" width="17.6640625" style="43" customWidth="1"/>
    <col min="15" max="15" width="17.88671875" style="43" customWidth="1"/>
    <col min="16" max="16" width="14.44140625" style="43" customWidth="1"/>
    <col min="17" max="19" width="15" style="43" customWidth="1"/>
    <col min="20" max="20" width="12.5546875" style="43"/>
    <col min="21" max="22" width="13.88671875" style="47" customWidth="1"/>
    <col min="23" max="23" width="12.5546875" style="43"/>
    <col min="24" max="24" width="13.33203125" style="43" customWidth="1"/>
    <col min="25" max="16384" width="12.5546875" style="43"/>
  </cols>
  <sheetData>
    <row r="1" spans="1:41" ht="21">
      <c r="A1" s="126" t="s">
        <v>190</v>
      </c>
      <c r="L1" s="120">
        <f>E5-I5</f>
        <v>249999.99999997835</v>
      </c>
      <c r="M1" s="121" t="s">
        <v>186</v>
      </c>
    </row>
    <row r="2" spans="1:41">
      <c r="L2" s="120">
        <f>L1+J6-B13</f>
        <v>-2.1653249859809875E-8</v>
      </c>
      <c r="M2" s="121" t="s">
        <v>187</v>
      </c>
      <c r="Q2"/>
      <c r="R2"/>
      <c r="S2"/>
      <c r="AN2" s="47"/>
      <c r="AO2" s="47"/>
    </row>
    <row r="3" spans="1:41" ht="18">
      <c r="E3" s="109" t="s">
        <v>181</v>
      </c>
      <c r="F3" s="110"/>
      <c r="G3" s="110"/>
      <c r="H3" s="110"/>
      <c r="I3" s="111" t="s">
        <v>182</v>
      </c>
      <c r="J3" s="110"/>
      <c r="L3" s="120">
        <f>L1+J6</f>
        <v>999999.99999997835</v>
      </c>
      <c r="M3" s="121" t="s">
        <v>188</v>
      </c>
      <c r="Q3"/>
      <c r="R3" s="122"/>
      <c r="S3" s="123"/>
      <c r="AN3" s="47"/>
      <c r="AO3" s="47"/>
    </row>
    <row r="4" spans="1:41">
      <c r="E4" s="109" t="s">
        <v>183</v>
      </c>
      <c r="F4" s="109" t="s">
        <v>184</v>
      </c>
      <c r="G4" s="112" t="s">
        <v>123</v>
      </c>
      <c r="H4" s="110"/>
      <c r="I4" s="113" t="s">
        <v>183</v>
      </c>
      <c r="J4" s="114" t="s">
        <v>185</v>
      </c>
      <c r="L4" s="120">
        <f>NPV(M25,M14:M23)</f>
        <v>250000.00000000026</v>
      </c>
      <c r="M4" s="121" t="s">
        <v>124</v>
      </c>
      <c r="Q4"/>
      <c r="R4"/>
      <c r="S4"/>
      <c r="AM4" s="47"/>
      <c r="AN4" s="47"/>
      <c r="AO4" s="47"/>
    </row>
    <row r="5" spans="1:41" ht="18">
      <c r="A5" s="55"/>
      <c r="B5" s="56"/>
      <c r="C5" s="56"/>
      <c r="D5" s="56"/>
      <c r="E5" s="115">
        <f>NPV(H25,H14:H23)</f>
        <v>967119.29744053853</v>
      </c>
      <c r="F5" s="115">
        <f>E5-B13</f>
        <v>-32880.702559461468</v>
      </c>
      <c r="G5" s="116">
        <f>NPV(N25,G14:G23)</f>
        <v>33526.865381432399</v>
      </c>
      <c r="H5" s="117"/>
      <c r="I5" s="118">
        <f>NPV(N25,N14:N23)</f>
        <v>717119.29744056019</v>
      </c>
      <c r="J5" s="111">
        <f>J6-I5</f>
        <v>32880.702559439815</v>
      </c>
      <c r="K5" s="56"/>
      <c r="L5" s="120">
        <f>L4-(B13-J6)</f>
        <v>2.6193447411060333E-10</v>
      </c>
      <c r="M5" s="121" t="s">
        <v>189</v>
      </c>
      <c r="N5" s="60"/>
      <c r="O5" s="61"/>
      <c r="P5" s="55"/>
      <c r="Q5" s="124"/>
      <c r="R5" s="125"/>
      <c r="S5" s="123"/>
      <c r="AM5" s="47"/>
      <c r="AN5" s="47"/>
      <c r="AO5" s="47"/>
    </row>
    <row r="6" spans="1:41">
      <c r="A6" s="43" t="s">
        <v>125</v>
      </c>
      <c r="C6" s="64">
        <v>0.01</v>
      </c>
      <c r="E6" s="44" t="s">
        <v>126</v>
      </c>
      <c r="G6" s="64">
        <v>0.8</v>
      </c>
      <c r="I6" s="65" t="s">
        <v>127</v>
      </c>
      <c r="J6" s="44">
        <v>750000</v>
      </c>
      <c r="L6" s="120">
        <f>B13+L5</f>
        <v>1000000.0000000002</v>
      </c>
      <c r="M6" s="121" t="s">
        <v>122</v>
      </c>
      <c r="T6" s="66"/>
      <c r="AM6" s="47"/>
      <c r="AN6" s="47"/>
      <c r="AO6" s="47"/>
    </row>
    <row r="7" spans="1:41">
      <c r="A7" s="43" t="s">
        <v>128</v>
      </c>
      <c r="C7" s="64">
        <v>0.06</v>
      </c>
      <c r="E7" s="44" t="s">
        <v>129</v>
      </c>
      <c r="G7" s="67">
        <v>27.5</v>
      </c>
      <c r="H7" s="44" t="s">
        <v>130</v>
      </c>
      <c r="I7" s="65" t="s">
        <v>131</v>
      </c>
      <c r="J7" s="64">
        <v>5.5E-2</v>
      </c>
      <c r="AL7" s="68"/>
      <c r="AM7" s="47"/>
      <c r="AN7" s="47"/>
      <c r="AO7" s="47"/>
    </row>
    <row r="8" spans="1:41">
      <c r="A8" s="43" t="s">
        <v>132</v>
      </c>
      <c r="C8" s="64">
        <v>0.35</v>
      </c>
      <c r="E8" s="44" t="s">
        <v>133</v>
      </c>
      <c r="G8" s="64">
        <v>0.15</v>
      </c>
      <c r="I8" s="65" t="s">
        <v>134</v>
      </c>
      <c r="J8" s="44">
        <v>2000</v>
      </c>
      <c r="T8" s="69"/>
      <c r="U8" s="70"/>
      <c r="AL8" s="68"/>
      <c r="AM8" s="47"/>
      <c r="AN8" s="47"/>
      <c r="AO8" s="47"/>
    </row>
    <row r="9" spans="1:41">
      <c r="A9" s="43" t="s">
        <v>135</v>
      </c>
      <c r="C9" s="64">
        <f>0.25</f>
        <v>0.25</v>
      </c>
      <c r="E9" s="44" t="s">
        <v>136</v>
      </c>
      <c r="G9" s="64">
        <v>0.25</v>
      </c>
      <c r="AL9" s="68"/>
      <c r="AM9" s="47"/>
      <c r="AN9" s="47"/>
      <c r="AO9" s="47"/>
    </row>
    <row r="10" spans="1:41">
      <c r="B10" s="71" t="s">
        <v>137</v>
      </c>
      <c r="C10" s="71" t="s">
        <v>138</v>
      </c>
      <c r="D10" s="71" t="s">
        <v>139</v>
      </c>
      <c r="E10" s="71" t="s">
        <v>140</v>
      </c>
      <c r="F10" s="71" t="s">
        <v>141</v>
      </c>
      <c r="G10" s="71" t="s">
        <v>142</v>
      </c>
      <c r="H10" s="71" t="s">
        <v>143</v>
      </c>
      <c r="I10" s="71" t="s">
        <v>144</v>
      </c>
      <c r="J10" s="71" t="s">
        <v>145</v>
      </c>
      <c r="K10" s="71" t="s">
        <v>146</v>
      </c>
      <c r="L10" s="71" t="s">
        <v>147</v>
      </c>
      <c r="M10" s="71" t="s">
        <v>148</v>
      </c>
      <c r="N10" s="72" t="s">
        <v>149</v>
      </c>
      <c r="T10" s="73"/>
      <c r="AL10" s="68"/>
      <c r="AM10" s="47"/>
      <c r="AN10" s="47"/>
      <c r="AO10" s="47"/>
    </row>
    <row r="11" spans="1:41">
      <c r="F11" s="65" t="s">
        <v>150</v>
      </c>
      <c r="H11" s="65" t="s">
        <v>151</v>
      </c>
      <c r="J11" s="65" t="s">
        <v>152</v>
      </c>
      <c r="L11" s="65" t="s">
        <v>153</v>
      </c>
      <c r="M11" s="65" t="s">
        <v>154</v>
      </c>
      <c r="N11" s="74" t="s">
        <v>155</v>
      </c>
      <c r="AL11" s="68"/>
      <c r="AM11" s="47"/>
      <c r="AN11" s="47"/>
      <c r="AO11" s="47"/>
    </row>
    <row r="12" spans="1:41">
      <c r="A12" s="75" t="s">
        <v>0</v>
      </c>
      <c r="B12" s="65" t="s">
        <v>1</v>
      </c>
      <c r="C12" s="65" t="s">
        <v>118</v>
      </c>
      <c r="D12" s="65" t="s">
        <v>2</v>
      </c>
      <c r="E12" s="65" t="s">
        <v>83</v>
      </c>
      <c r="F12" s="65" t="s">
        <v>3</v>
      </c>
      <c r="G12" s="65" t="s">
        <v>4</v>
      </c>
      <c r="H12" s="65" t="s">
        <v>5</v>
      </c>
      <c r="I12" s="65" t="s">
        <v>6</v>
      </c>
      <c r="J12" s="65" t="s">
        <v>7</v>
      </c>
      <c r="K12" s="65" t="s">
        <v>8</v>
      </c>
      <c r="L12" s="65" t="s">
        <v>9</v>
      </c>
      <c r="M12" s="65" t="s">
        <v>10</v>
      </c>
      <c r="N12" s="65" t="s">
        <v>11</v>
      </c>
      <c r="P12" s="76"/>
      <c r="Q12" s="76"/>
      <c r="R12" s="76"/>
      <c r="S12" s="76"/>
      <c r="U12" s="70"/>
      <c r="AL12" s="68"/>
      <c r="AM12" s="47"/>
      <c r="AN12" s="47"/>
      <c r="AO12" s="47"/>
    </row>
    <row r="13" spans="1:41">
      <c r="A13" s="77">
        <v>0</v>
      </c>
      <c r="B13" s="78">
        <v>1000000</v>
      </c>
      <c r="E13" s="78">
        <f>-B13</f>
        <v>-1000000</v>
      </c>
      <c r="H13" s="78">
        <f>-(B13-(J6+N13))</f>
        <v>-967119.29744056019</v>
      </c>
      <c r="I13" s="44">
        <f>J6</f>
        <v>750000</v>
      </c>
      <c r="J13" s="78">
        <f>-J6</f>
        <v>-750000</v>
      </c>
      <c r="L13" s="78">
        <f t="shared" ref="L13:L23" si="0">E13-J13</f>
        <v>-250000</v>
      </c>
      <c r="M13" s="44">
        <f>-(B13-J6)</f>
        <v>-250000</v>
      </c>
      <c r="N13" s="79">
        <f>-NPV(N25,N14:N23)</f>
        <v>-717119.29744056019</v>
      </c>
      <c r="O13" s="79"/>
      <c r="P13" s="79"/>
      <c r="Q13" s="119"/>
      <c r="R13" s="119"/>
      <c r="S13" s="79"/>
      <c r="AL13" s="68"/>
      <c r="AM13" s="47"/>
      <c r="AN13" s="47"/>
      <c r="AO13" s="47"/>
    </row>
    <row r="14" spans="1:41">
      <c r="A14" s="77">
        <f t="shared" ref="A14:A23" si="1">1+A13</f>
        <v>1</v>
      </c>
      <c r="B14" s="78"/>
      <c r="C14" s="44">
        <f>C$7*B13</f>
        <v>60000</v>
      </c>
      <c r="D14" s="44">
        <v>0</v>
      </c>
      <c r="E14" s="78">
        <f t="shared" ref="E14:E22" si="2">C14-D14</f>
        <v>60000</v>
      </c>
      <c r="F14" s="44">
        <f t="shared" ref="F14:F22" si="3">C$8*C14</f>
        <v>21000</v>
      </c>
      <c r="G14" s="44">
        <f>$B$13*$C$8*$G$6/$G$7</f>
        <v>10181.818181818182</v>
      </c>
      <c r="H14" s="78">
        <f t="shared" ref="H14:H23" si="4">E14-F14+G14</f>
        <v>49181.818181818184</v>
      </c>
      <c r="I14" s="44">
        <f t="shared" ref="I14:I23" si="5">I13-$J$8</f>
        <v>748000</v>
      </c>
      <c r="J14" s="44">
        <f t="shared" ref="J14:J22" si="6">$J$7*I13+$J$8</f>
        <v>43250</v>
      </c>
      <c r="K14" s="44">
        <f t="shared" ref="K14:K23" si="7">C$8*I13*J$7</f>
        <v>14437.5</v>
      </c>
      <c r="L14" s="44">
        <f t="shared" si="0"/>
        <v>16750</v>
      </c>
      <c r="M14" s="44">
        <f t="shared" ref="M14:M23" si="8">H14-J14+K14</f>
        <v>20369.318181818184</v>
      </c>
      <c r="N14" s="79">
        <f t="shared" ref="N14:N23" si="9">J14-K14</f>
        <v>28812.5</v>
      </c>
      <c r="O14" s="79"/>
      <c r="P14" s="79"/>
      <c r="Q14" s="80"/>
      <c r="R14" s="81"/>
      <c r="S14" s="81"/>
      <c r="U14" s="70"/>
      <c r="AL14" s="68"/>
      <c r="AM14" s="47"/>
      <c r="AN14" s="47"/>
      <c r="AO14" s="47"/>
    </row>
    <row r="15" spans="1:41">
      <c r="A15" s="77">
        <f t="shared" si="1"/>
        <v>2</v>
      </c>
      <c r="B15" s="78"/>
      <c r="C15" s="44">
        <f>(1+C$6)*C14</f>
        <v>60600</v>
      </c>
      <c r="D15" s="44">
        <v>0</v>
      </c>
      <c r="E15" s="78">
        <f t="shared" si="2"/>
        <v>60600</v>
      </c>
      <c r="F15" s="44">
        <f t="shared" si="3"/>
        <v>21210</v>
      </c>
      <c r="G15" s="44">
        <f t="shared" ref="G15:G22" si="10">B$13*C$8*G$6/G$7</f>
        <v>10181.818181818182</v>
      </c>
      <c r="H15" s="78">
        <f t="shared" si="4"/>
        <v>49571.818181818184</v>
      </c>
      <c r="I15" s="44">
        <f t="shared" si="5"/>
        <v>746000</v>
      </c>
      <c r="J15" s="44">
        <f t="shared" si="6"/>
        <v>43140</v>
      </c>
      <c r="K15" s="44">
        <f t="shared" si="7"/>
        <v>14398.999999999998</v>
      </c>
      <c r="L15" s="44">
        <f t="shared" si="0"/>
        <v>17460</v>
      </c>
      <c r="M15" s="44">
        <f t="shared" si="8"/>
        <v>20830.818181818184</v>
      </c>
      <c r="N15" s="79">
        <f t="shared" si="9"/>
        <v>28741</v>
      </c>
      <c r="O15" s="79"/>
      <c r="P15" s="79"/>
      <c r="Q15" s="80"/>
      <c r="R15" s="81"/>
      <c r="S15" s="81"/>
      <c r="AL15" s="68"/>
      <c r="AM15" s="47"/>
      <c r="AN15" s="47"/>
      <c r="AO15" s="47"/>
    </row>
    <row r="16" spans="1:41">
      <c r="A16" s="77">
        <f t="shared" si="1"/>
        <v>3</v>
      </c>
      <c r="B16" s="78"/>
      <c r="C16" s="44">
        <f t="shared" ref="C16:C24" si="11">(1+C$6)*C15</f>
        <v>61206</v>
      </c>
      <c r="D16" s="44">
        <v>50000</v>
      </c>
      <c r="E16" s="78">
        <f t="shared" si="2"/>
        <v>11206</v>
      </c>
      <c r="F16" s="44">
        <f t="shared" si="3"/>
        <v>21422.1</v>
      </c>
      <c r="G16" s="44">
        <f t="shared" si="10"/>
        <v>10181.818181818182</v>
      </c>
      <c r="H16" s="78">
        <f t="shared" si="4"/>
        <v>-34.281818181816561</v>
      </c>
      <c r="I16" s="44">
        <f t="shared" si="5"/>
        <v>744000</v>
      </c>
      <c r="J16" s="44">
        <f t="shared" si="6"/>
        <v>43030</v>
      </c>
      <c r="K16" s="44">
        <f t="shared" si="7"/>
        <v>14360.499999999998</v>
      </c>
      <c r="L16" s="44">
        <f t="shared" si="0"/>
        <v>-31824</v>
      </c>
      <c r="M16" s="44">
        <f t="shared" si="8"/>
        <v>-28703.781818181815</v>
      </c>
      <c r="N16" s="79">
        <f t="shared" si="9"/>
        <v>28669.5</v>
      </c>
      <c r="O16" s="79"/>
      <c r="P16" s="79"/>
      <c r="Q16" s="80"/>
      <c r="R16" s="81"/>
      <c r="S16" s="81"/>
      <c r="AL16" s="68"/>
      <c r="AM16" s="47"/>
      <c r="AN16" s="47"/>
      <c r="AO16" s="47"/>
    </row>
    <row r="17" spans="1:41">
      <c r="A17" s="77">
        <f t="shared" si="1"/>
        <v>4</v>
      </c>
      <c r="B17" s="78"/>
      <c r="C17" s="44">
        <f t="shared" si="11"/>
        <v>61818.06</v>
      </c>
      <c r="D17" s="44">
        <v>0</v>
      </c>
      <c r="E17" s="78">
        <f t="shared" si="2"/>
        <v>61818.06</v>
      </c>
      <c r="F17" s="44">
        <f t="shared" si="3"/>
        <v>21636.320999999996</v>
      </c>
      <c r="G17" s="44">
        <f t="shared" si="10"/>
        <v>10181.818181818182</v>
      </c>
      <c r="H17" s="78">
        <f t="shared" si="4"/>
        <v>50363.557181818185</v>
      </c>
      <c r="I17" s="44">
        <f t="shared" si="5"/>
        <v>742000</v>
      </c>
      <c r="J17" s="44">
        <f t="shared" si="6"/>
        <v>42920</v>
      </c>
      <c r="K17" s="44">
        <f t="shared" si="7"/>
        <v>14321.999999999998</v>
      </c>
      <c r="L17" s="44">
        <f t="shared" si="0"/>
        <v>18898.059999999998</v>
      </c>
      <c r="M17" s="44">
        <f t="shared" si="8"/>
        <v>21765.557181818185</v>
      </c>
      <c r="N17" s="79">
        <f t="shared" si="9"/>
        <v>28598</v>
      </c>
      <c r="O17" s="79"/>
      <c r="P17" s="79"/>
      <c r="Q17" s="80"/>
      <c r="R17" s="81"/>
      <c r="S17" s="81"/>
      <c r="AL17" s="68"/>
      <c r="AM17" s="47"/>
      <c r="AN17" s="47"/>
      <c r="AO17" s="47"/>
    </row>
    <row r="18" spans="1:41">
      <c r="A18" s="77">
        <f t="shared" si="1"/>
        <v>5</v>
      </c>
      <c r="B18" s="78"/>
      <c r="C18" s="44">
        <f t="shared" si="11"/>
        <v>62436.240599999997</v>
      </c>
      <c r="D18" s="44">
        <v>0</v>
      </c>
      <c r="E18" s="78">
        <f t="shared" si="2"/>
        <v>62436.240599999997</v>
      </c>
      <c r="F18" s="44">
        <f t="shared" si="3"/>
        <v>21852.684209999999</v>
      </c>
      <c r="G18" s="44">
        <f t="shared" si="10"/>
        <v>10181.818181818182</v>
      </c>
      <c r="H18" s="78">
        <f t="shared" si="4"/>
        <v>50765.374571818182</v>
      </c>
      <c r="I18" s="44">
        <f t="shared" si="5"/>
        <v>740000</v>
      </c>
      <c r="J18" s="44">
        <f t="shared" si="6"/>
        <v>42810</v>
      </c>
      <c r="K18" s="44">
        <f t="shared" si="7"/>
        <v>14283.499999999998</v>
      </c>
      <c r="L18" s="44">
        <f t="shared" si="0"/>
        <v>19626.240599999997</v>
      </c>
      <c r="M18" s="44">
        <f t="shared" si="8"/>
        <v>22238.874571818182</v>
      </c>
      <c r="N18" s="79">
        <f t="shared" si="9"/>
        <v>28526.5</v>
      </c>
      <c r="O18" s="79"/>
      <c r="P18" s="79"/>
      <c r="Q18" s="80"/>
      <c r="R18" s="81"/>
      <c r="S18" s="81"/>
      <c r="AL18" s="68"/>
      <c r="AM18" s="47"/>
      <c r="AN18" s="47"/>
      <c r="AO18" s="47"/>
    </row>
    <row r="19" spans="1:41">
      <c r="A19" s="77">
        <f t="shared" si="1"/>
        <v>6</v>
      </c>
      <c r="B19" s="78"/>
      <c r="C19" s="44">
        <f t="shared" si="11"/>
        <v>63060.603005999998</v>
      </c>
      <c r="D19" s="44">
        <v>0</v>
      </c>
      <c r="E19" s="78">
        <f t="shared" si="2"/>
        <v>63060.603005999998</v>
      </c>
      <c r="F19" s="44">
        <f t="shared" si="3"/>
        <v>22071.2110521</v>
      </c>
      <c r="G19" s="44">
        <f t="shared" si="10"/>
        <v>10181.818181818182</v>
      </c>
      <c r="H19" s="78">
        <f t="shared" si="4"/>
        <v>51171.210135718182</v>
      </c>
      <c r="I19" s="44">
        <f t="shared" si="5"/>
        <v>738000</v>
      </c>
      <c r="J19" s="44">
        <f t="shared" si="6"/>
        <v>42700</v>
      </c>
      <c r="K19" s="44">
        <f t="shared" si="7"/>
        <v>14244.999999999998</v>
      </c>
      <c r="L19" s="44">
        <f t="shared" si="0"/>
        <v>20360.603005999998</v>
      </c>
      <c r="M19" s="44">
        <f t="shared" si="8"/>
        <v>22716.210135718182</v>
      </c>
      <c r="N19" s="79">
        <f t="shared" si="9"/>
        <v>28455</v>
      </c>
      <c r="O19" s="79"/>
      <c r="P19" s="79"/>
      <c r="Q19" s="80"/>
      <c r="R19" s="81"/>
      <c r="S19" s="81"/>
      <c r="W19" s="47"/>
      <c r="Y19" s="47"/>
      <c r="AA19" s="47"/>
      <c r="AL19" s="68"/>
      <c r="AM19" s="47"/>
      <c r="AN19" s="47"/>
      <c r="AO19" s="47"/>
    </row>
    <row r="20" spans="1:41">
      <c r="A20" s="77">
        <f t="shared" si="1"/>
        <v>7</v>
      </c>
      <c r="B20" s="78"/>
      <c r="C20" s="44">
        <f t="shared" si="11"/>
        <v>63691.209036059998</v>
      </c>
      <c r="D20" s="44">
        <v>0</v>
      </c>
      <c r="E20" s="78">
        <f t="shared" si="2"/>
        <v>63691.209036059998</v>
      </c>
      <c r="F20" s="44">
        <f t="shared" si="3"/>
        <v>22291.923162620998</v>
      </c>
      <c r="G20" s="44">
        <f t="shared" si="10"/>
        <v>10181.818181818182</v>
      </c>
      <c r="H20" s="78">
        <f t="shared" si="4"/>
        <v>51581.104055257187</v>
      </c>
      <c r="I20" s="44">
        <f t="shared" si="5"/>
        <v>736000</v>
      </c>
      <c r="J20" s="44">
        <f t="shared" si="6"/>
        <v>42590</v>
      </c>
      <c r="K20" s="44">
        <f t="shared" si="7"/>
        <v>14206.499999999998</v>
      </c>
      <c r="L20" s="44">
        <f t="shared" si="0"/>
        <v>21101.209036059998</v>
      </c>
      <c r="M20" s="44">
        <f t="shared" si="8"/>
        <v>23197.604055257187</v>
      </c>
      <c r="N20" s="79">
        <f t="shared" si="9"/>
        <v>28383.5</v>
      </c>
      <c r="O20" s="79"/>
      <c r="P20" s="79"/>
      <c r="Q20" s="80"/>
      <c r="R20" s="81"/>
      <c r="S20" s="81"/>
      <c r="T20" s="68"/>
      <c r="W20" s="68"/>
      <c r="X20" s="47"/>
      <c r="Y20" s="47"/>
      <c r="AB20" s="47"/>
      <c r="AL20" s="68"/>
      <c r="AM20" s="47"/>
      <c r="AN20" s="47"/>
      <c r="AO20" s="47"/>
    </row>
    <row r="21" spans="1:41">
      <c r="A21" s="77">
        <f t="shared" si="1"/>
        <v>8</v>
      </c>
      <c r="B21" s="78"/>
      <c r="C21" s="44">
        <f t="shared" si="11"/>
        <v>64328.121126420599</v>
      </c>
      <c r="D21" s="44">
        <v>50000</v>
      </c>
      <c r="E21" s="78">
        <f t="shared" si="2"/>
        <v>14328.121126420599</v>
      </c>
      <c r="F21" s="44">
        <f t="shared" si="3"/>
        <v>22514.842394247207</v>
      </c>
      <c r="G21" s="44">
        <f t="shared" si="10"/>
        <v>10181.818181818182</v>
      </c>
      <c r="H21" s="78">
        <f t="shared" si="4"/>
        <v>1995.0969139915742</v>
      </c>
      <c r="I21" s="44">
        <f t="shared" si="5"/>
        <v>734000</v>
      </c>
      <c r="J21" s="44">
        <f t="shared" si="6"/>
        <v>42480</v>
      </c>
      <c r="K21" s="44">
        <f t="shared" si="7"/>
        <v>14167.999999999998</v>
      </c>
      <c r="L21" s="44">
        <f t="shared" si="0"/>
        <v>-28151.878873579401</v>
      </c>
      <c r="M21" s="44">
        <f t="shared" si="8"/>
        <v>-26316.903086008424</v>
      </c>
      <c r="N21" s="79">
        <f t="shared" si="9"/>
        <v>28312</v>
      </c>
      <c r="O21" s="79"/>
      <c r="P21" s="79"/>
      <c r="Q21" s="80"/>
      <c r="R21" s="81"/>
      <c r="S21" s="81"/>
      <c r="T21" s="68"/>
      <c r="W21" s="68"/>
      <c r="X21" s="47"/>
      <c r="Y21" s="47"/>
      <c r="AB21" s="47"/>
      <c r="AL21" s="68"/>
      <c r="AM21" s="47"/>
      <c r="AN21" s="47"/>
      <c r="AO21" s="47"/>
    </row>
    <row r="22" spans="1:41">
      <c r="A22" s="77">
        <f t="shared" si="1"/>
        <v>9</v>
      </c>
      <c r="B22" s="78"/>
      <c r="C22" s="44">
        <f t="shared" si="11"/>
        <v>64971.402337684805</v>
      </c>
      <c r="D22" s="44">
        <v>0</v>
      </c>
      <c r="E22" s="78">
        <f t="shared" si="2"/>
        <v>64971.402337684805</v>
      </c>
      <c r="F22" s="44">
        <f t="shared" si="3"/>
        <v>22739.990818189679</v>
      </c>
      <c r="G22" s="44">
        <f t="shared" si="10"/>
        <v>10181.818181818182</v>
      </c>
      <c r="H22" s="78">
        <f t="shared" si="4"/>
        <v>52413.229701313314</v>
      </c>
      <c r="I22" s="44">
        <f t="shared" si="5"/>
        <v>732000</v>
      </c>
      <c r="J22" s="44">
        <f t="shared" si="6"/>
        <v>42370</v>
      </c>
      <c r="K22" s="44">
        <f t="shared" si="7"/>
        <v>14129.499999999998</v>
      </c>
      <c r="L22" s="44">
        <f t="shared" si="0"/>
        <v>22601.402337684805</v>
      </c>
      <c r="M22" s="44">
        <f t="shared" si="8"/>
        <v>24172.729701313314</v>
      </c>
      <c r="N22" s="79">
        <f t="shared" si="9"/>
        <v>28240.5</v>
      </c>
      <c r="O22" s="79"/>
      <c r="P22" s="79"/>
      <c r="Q22" s="80"/>
      <c r="R22" s="81"/>
      <c r="S22" s="81"/>
      <c r="T22" s="68"/>
      <c r="W22" s="68"/>
      <c r="X22" s="47"/>
      <c r="Y22" s="47"/>
      <c r="AL22" s="68"/>
      <c r="AM22" s="47"/>
      <c r="AN22" s="47"/>
      <c r="AO22" s="47"/>
    </row>
    <row r="23" spans="1:41">
      <c r="A23" s="77">
        <f t="shared" si="1"/>
        <v>10</v>
      </c>
      <c r="B23" s="78">
        <f>C24/C$7</f>
        <v>1104622.1254112045</v>
      </c>
      <c r="C23" s="44">
        <f t="shared" si="11"/>
        <v>65621.11636106165</v>
      </c>
      <c r="D23" s="44">
        <v>0</v>
      </c>
      <c r="E23" s="78">
        <f>B23+C23-D23</f>
        <v>1170243.2417722661</v>
      </c>
      <c r="F23" s="44">
        <f>C$8*C23+G$8*(B23-(B13+SUM(D14:D23)))</f>
        <v>23660.709538052255</v>
      </c>
      <c r="G23" s="44">
        <f>B$13*($C$8*$G$6/$G$7-10*$G$9*$G$6/$G$7)</f>
        <v>-62545.454545454544</v>
      </c>
      <c r="H23" s="78">
        <f t="shared" si="4"/>
        <v>1084037.0776887592</v>
      </c>
      <c r="I23" s="44">
        <f t="shared" si="5"/>
        <v>730000</v>
      </c>
      <c r="J23" s="44">
        <f>$J$7*I22+I22</f>
        <v>772260</v>
      </c>
      <c r="K23" s="44">
        <f t="shared" si="7"/>
        <v>14090.999999999998</v>
      </c>
      <c r="L23" s="44">
        <f t="shared" si="0"/>
        <v>397983.2417722661</v>
      </c>
      <c r="M23" s="44">
        <f t="shared" si="8"/>
        <v>325868.07768875919</v>
      </c>
      <c r="N23" s="79">
        <f t="shared" si="9"/>
        <v>758169</v>
      </c>
      <c r="O23" s="79"/>
      <c r="P23" s="79"/>
      <c r="Q23" s="80"/>
      <c r="R23" s="81"/>
      <c r="S23" s="81"/>
      <c r="T23" s="68"/>
      <c r="W23" s="68"/>
      <c r="X23" s="47"/>
      <c r="Y23" s="47"/>
      <c r="AL23" s="68"/>
      <c r="AM23" s="47"/>
      <c r="AN23" s="47"/>
      <c r="AO23" s="47"/>
    </row>
    <row r="24" spans="1:41">
      <c r="C24" s="44">
        <f t="shared" si="11"/>
        <v>66277.327524672262</v>
      </c>
      <c r="M24" s="44"/>
      <c r="AL24" s="68"/>
      <c r="AM24" s="47"/>
      <c r="AN24" s="47"/>
      <c r="AO24" s="47"/>
    </row>
    <row r="25" spans="1:41">
      <c r="A25" s="64" t="s">
        <v>13</v>
      </c>
      <c r="D25" s="64"/>
      <c r="E25" s="64">
        <f>IRR(E13:E23,0.1)</f>
        <v>6.0428831757567192E-2</v>
      </c>
      <c r="F25" s="64"/>
      <c r="G25" s="64"/>
      <c r="H25" s="64">
        <f>IRR(H13:H23,0.1)</f>
        <v>4.75680762050541E-2</v>
      </c>
      <c r="J25" s="64">
        <f>IRR(J13:J23,0.1)</f>
        <v>5.4999999999999938E-2</v>
      </c>
      <c r="K25" s="64"/>
      <c r="L25" s="64">
        <f>IRR(L13:L23,0.1)</f>
        <v>7.3970856701934817E-2</v>
      </c>
      <c r="M25" s="64">
        <f>IRR(M13:M23,0.1)</f>
        <v>6.4376056243433899E-2</v>
      </c>
      <c r="N25" s="64">
        <f>J7*(1-C9)</f>
        <v>4.1250000000000002E-2</v>
      </c>
      <c r="O25" s="64"/>
      <c r="P25" s="64"/>
      <c r="Q25" s="64"/>
      <c r="R25" s="64"/>
      <c r="S25" s="64"/>
      <c r="V25" s="82"/>
      <c r="AL25" s="68"/>
      <c r="AM25" s="47"/>
      <c r="AN25" s="47"/>
      <c r="AO25" s="47"/>
    </row>
    <row r="26" spans="1:41">
      <c r="B26" s="43"/>
      <c r="C26" s="43"/>
      <c r="D26" s="43"/>
      <c r="E26" s="43"/>
      <c r="F26" s="43"/>
      <c r="G26" s="43"/>
      <c r="H26" s="43"/>
      <c r="J26" s="43"/>
      <c r="K26" s="43"/>
      <c r="L26" s="43"/>
      <c r="O26" s="47"/>
      <c r="P26" s="47"/>
      <c r="Q26" s="47"/>
      <c r="R26" s="47"/>
      <c r="S26" s="47"/>
      <c r="V26" s="82"/>
      <c r="W26" s="75"/>
      <c r="AN26" s="47"/>
      <c r="AO26" s="47"/>
    </row>
    <row r="27" spans="1:41">
      <c r="B27" s="43"/>
      <c r="C27" s="43"/>
      <c r="D27" s="43"/>
      <c r="E27" s="43"/>
      <c r="F27" s="43"/>
      <c r="G27" s="43"/>
      <c r="H27" s="43"/>
      <c r="J27" s="43"/>
      <c r="K27" s="43"/>
      <c r="L27" s="43"/>
      <c r="O27" s="47"/>
      <c r="P27" s="47"/>
      <c r="Q27" s="47"/>
      <c r="R27" s="47"/>
      <c r="S27" s="47"/>
      <c r="T27" s="68"/>
      <c r="V27" s="68"/>
      <c r="W27" s="47"/>
      <c r="AN27" s="47"/>
      <c r="AO27" s="47"/>
    </row>
    <row r="28" spans="1:41">
      <c r="A28" s="43" t="s">
        <v>14</v>
      </c>
      <c r="T28" s="68"/>
      <c r="V28" s="68"/>
      <c r="W28" s="47"/>
      <c r="AN28" s="47"/>
      <c r="AO28" s="47"/>
    </row>
    <row r="29" spans="1:41">
      <c r="B29" s="65" t="s">
        <v>99</v>
      </c>
      <c r="K29" s="65" t="s">
        <v>15</v>
      </c>
      <c r="L29" s="65" t="s">
        <v>16</v>
      </c>
      <c r="M29" s="75" t="s">
        <v>17</v>
      </c>
      <c r="N29" s="75" t="s">
        <v>107</v>
      </c>
      <c r="T29" s="68"/>
      <c r="V29" s="68"/>
      <c r="W29" s="47"/>
      <c r="AN29" s="47"/>
      <c r="AO29" s="47"/>
    </row>
    <row r="30" spans="1:41">
      <c r="A30" s="43" t="s">
        <v>18</v>
      </c>
      <c r="B30" s="44">
        <v>1</v>
      </c>
      <c r="C30" s="44">
        <v>2</v>
      </c>
      <c r="D30" s="44">
        <v>3</v>
      </c>
      <c r="E30" s="44">
        <v>4</v>
      </c>
      <c r="F30" s="44">
        <v>5</v>
      </c>
      <c r="G30" s="44">
        <v>6</v>
      </c>
      <c r="H30" s="44">
        <v>7</v>
      </c>
      <c r="I30" s="44">
        <v>8</v>
      </c>
      <c r="J30" s="44">
        <v>9</v>
      </c>
      <c r="K30" s="65" t="s">
        <v>19</v>
      </c>
      <c r="L30" s="65" t="s">
        <v>20</v>
      </c>
      <c r="M30" s="75" t="s">
        <v>19</v>
      </c>
      <c r="N30" s="75" t="s">
        <v>19</v>
      </c>
      <c r="T30" s="68"/>
      <c r="V30" s="68"/>
      <c r="W30" s="47"/>
      <c r="AN30" s="47"/>
      <c r="AO30" s="47"/>
    </row>
    <row r="31" spans="1:41">
      <c r="A31" s="43" t="s">
        <v>21</v>
      </c>
      <c r="T31" s="68"/>
      <c r="V31" s="68"/>
      <c r="W31" s="47"/>
      <c r="AN31" s="47"/>
      <c r="AO31" s="47"/>
    </row>
    <row r="32" spans="1:41">
      <c r="A32" s="75" t="s">
        <v>118</v>
      </c>
      <c r="B32" s="44">
        <f>C14</f>
        <v>60000</v>
      </c>
      <c r="C32" s="44">
        <f>C15</f>
        <v>60600</v>
      </c>
      <c r="D32" s="44">
        <f>C16</f>
        <v>61206</v>
      </c>
      <c r="E32" s="44">
        <f>C17</f>
        <v>61818.06</v>
      </c>
      <c r="F32" s="44">
        <f>C18</f>
        <v>62436.240599999997</v>
      </c>
      <c r="G32" s="44">
        <f>C19</f>
        <v>63060.603005999998</v>
      </c>
      <c r="H32" s="44">
        <f>C20</f>
        <v>63691.209036059998</v>
      </c>
      <c r="I32" s="44">
        <f>C21</f>
        <v>64328.121126420599</v>
      </c>
      <c r="J32" s="44">
        <f>C22</f>
        <v>64971.402337684805</v>
      </c>
      <c r="K32" s="44">
        <f>C23</f>
        <v>65621.11636106165</v>
      </c>
      <c r="L32" s="65" t="s">
        <v>22</v>
      </c>
      <c r="M32" s="44">
        <f>B23</f>
        <v>1104622.1254112045</v>
      </c>
      <c r="N32" s="44"/>
      <c r="T32" s="68"/>
      <c r="V32" s="68"/>
      <c r="W32" s="47"/>
      <c r="AN32" s="47"/>
      <c r="AO32" s="47"/>
    </row>
    <row r="33" spans="1:44">
      <c r="A33" s="75" t="s">
        <v>23</v>
      </c>
      <c r="B33" s="44">
        <f t="shared" ref="B33:K33" si="12">$B$13*$G$6/$G$7</f>
        <v>29090.909090909092</v>
      </c>
      <c r="C33" s="44">
        <f t="shared" si="12"/>
        <v>29090.909090909092</v>
      </c>
      <c r="D33" s="44">
        <f t="shared" si="12"/>
        <v>29090.909090909092</v>
      </c>
      <c r="E33" s="44">
        <f t="shared" si="12"/>
        <v>29090.909090909092</v>
      </c>
      <c r="F33" s="44">
        <f t="shared" si="12"/>
        <v>29090.909090909092</v>
      </c>
      <c r="G33" s="44">
        <f t="shared" si="12"/>
        <v>29090.909090909092</v>
      </c>
      <c r="H33" s="44">
        <f t="shared" si="12"/>
        <v>29090.909090909092</v>
      </c>
      <c r="I33" s="44">
        <f t="shared" si="12"/>
        <v>29090.909090909092</v>
      </c>
      <c r="J33" s="44">
        <f t="shared" si="12"/>
        <v>29090.909090909092</v>
      </c>
      <c r="K33" s="44">
        <f t="shared" si="12"/>
        <v>29090.909090909092</v>
      </c>
      <c r="L33" s="65" t="s">
        <v>24</v>
      </c>
      <c r="M33" s="44">
        <f>B13-SUM(B33:K33)+SUM(B39:K39)</f>
        <v>809090.90909090906</v>
      </c>
      <c r="N33" s="44"/>
      <c r="T33" s="68"/>
      <c r="V33" s="68"/>
      <c r="W33" s="47"/>
      <c r="AN33" s="47"/>
      <c r="AO33" s="47"/>
    </row>
    <row r="34" spans="1:44">
      <c r="A34" s="75" t="s">
        <v>25</v>
      </c>
      <c r="B34" s="44">
        <f t="shared" ref="B34:K34" si="13">B32-B33</f>
        <v>30909.090909090908</v>
      </c>
      <c r="C34" s="44">
        <f t="shared" si="13"/>
        <v>31509.090909090908</v>
      </c>
      <c r="D34" s="44">
        <f t="shared" si="13"/>
        <v>32115.090909090908</v>
      </c>
      <c r="E34" s="44">
        <f t="shared" si="13"/>
        <v>32727.150909090906</v>
      </c>
      <c r="F34" s="44">
        <f t="shared" si="13"/>
        <v>33345.331509090902</v>
      </c>
      <c r="G34" s="44">
        <f t="shared" si="13"/>
        <v>33969.693915090902</v>
      </c>
      <c r="H34" s="44">
        <f t="shared" si="13"/>
        <v>34600.299945150909</v>
      </c>
      <c r="I34" s="44">
        <f t="shared" si="13"/>
        <v>35237.212035511504</v>
      </c>
      <c r="J34" s="44">
        <f t="shared" si="13"/>
        <v>35880.493246775717</v>
      </c>
      <c r="K34" s="44">
        <f t="shared" si="13"/>
        <v>36530.207270152561</v>
      </c>
      <c r="L34" s="65" t="s">
        <v>26</v>
      </c>
      <c r="M34" s="44">
        <f>M32-M33</f>
        <v>295531.21632029547</v>
      </c>
      <c r="N34" s="44">
        <f>K34+M34</f>
        <v>332061.42359044804</v>
      </c>
      <c r="T34" s="68"/>
      <c r="V34" s="68"/>
      <c r="W34" s="47"/>
      <c r="AN34" s="47"/>
      <c r="AO34" s="47"/>
    </row>
    <row r="35" spans="1:44">
      <c r="A35" s="75" t="s">
        <v>27</v>
      </c>
      <c r="B35" s="44">
        <f t="shared" ref="B35:K35" si="14">$C$8*B34</f>
        <v>10818.181818181818</v>
      </c>
      <c r="C35" s="44">
        <f t="shared" si="14"/>
        <v>11028.181818181818</v>
      </c>
      <c r="D35" s="44">
        <f t="shared" si="14"/>
        <v>11240.281818181817</v>
      </c>
      <c r="E35" s="44">
        <f t="shared" si="14"/>
        <v>11454.502818181816</v>
      </c>
      <c r="F35" s="44">
        <f t="shared" si="14"/>
        <v>11670.866028181816</v>
      </c>
      <c r="G35" s="44">
        <f t="shared" si="14"/>
        <v>11889.392870281816</v>
      </c>
      <c r="H35" s="44">
        <f t="shared" si="14"/>
        <v>12110.104980802818</v>
      </c>
      <c r="I35" s="44">
        <f t="shared" si="14"/>
        <v>12333.024212429025</v>
      </c>
      <c r="J35" s="44">
        <f t="shared" si="14"/>
        <v>12558.172636371501</v>
      </c>
      <c r="K35" s="44">
        <f t="shared" si="14"/>
        <v>12785.572544553395</v>
      </c>
      <c r="L35" s="65" t="s">
        <v>28</v>
      </c>
      <c r="M35" s="44">
        <f>G8*(M32-(B13+SUM(B39:K39)))+G9*SUM(B33:K33)</f>
        <v>73420.59153895342</v>
      </c>
      <c r="N35" s="44"/>
      <c r="T35" s="68"/>
      <c r="V35" s="68"/>
      <c r="W35" s="47"/>
      <c r="AN35" s="47"/>
      <c r="AO35" s="47"/>
    </row>
    <row r="36" spans="1:44">
      <c r="A36" s="75" t="s">
        <v>29</v>
      </c>
      <c r="B36" s="44">
        <f t="shared" ref="B36:K36" si="15">B34-B35</f>
        <v>20090.909090909088</v>
      </c>
      <c r="C36" s="44">
        <f t="shared" si="15"/>
        <v>20480.909090909088</v>
      </c>
      <c r="D36" s="44">
        <f t="shared" si="15"/>
        <v>20874.80909090909</v>
      </c>
      <c r="E36" s="44">
        <f t="shared" si="15"/>
        <v>21272.64809090909</v>
      </c>
      <c r="F36" s="44">
        <f t="shared" si="15"/>
        <v>21674.465480909086</v>
      </c>
      <c r="G36" s="44">
        <f t="shared" si="15"/>
        <v>22080.301044809086</v>
      </c>
      <c r="H36" s="44">
        <f t="shared" si="15"/>
        <v>22490.194964348091</v>
      </c>
      <c r="I36" s="44">
        <f t="shared" si="15"/>
        <v>22904.18782308248</v>
      </c>
      <c r="J36" s="44">
        <f t="shared" si="15"/>
        <v>23322.320610404218</v>
      </c>
      <c r="K36" s="44">
        <f t="shared" si="15"/>
        <v>23744.634725599164</v>
      </c>
      <c r="L36" s="65" t="s">
        <v>30</v>
      </c>
      <c r="M36" s="44">
        <f>M34-M35</f>
        <v>222110.62478134205</v>
      </c>
      <c r="N36" s="44">
        <f>K36+M36</f>
        <v>245855.25950694122</v>
      </c>
      <c r="T36" s="68"/>
      <c r="V36" s="68"/>
      <c r="W36" s="47"/>
      <c r="AN36" s="47"/>
      <c r="AO36" s="47"/>
      <c r="AP36" s="47"/>
      <c r="AQ36" s="68"/>
    </row>
    <row r="37" spans="1:44">
      <c r="M37" s="44"/>
      <c r="N37" s="44"/>
      <c r="T37" s="68"/>
      <c r="V37" s="68"/>
      <c r="W37" s="47"/>
      <c r="AN37" s="47"/>
      <c r="AO37" s="47"/>
      <c r="AP37" s="47"/>
      <c r="AQ37" s="68"/>
    </row>
    <row r="38" spans="1:44">
      <c r="A38" s="43" t="s">
        <v>31</v>
      </c>
      <c r="M38" s="44"/>
      <c r="N38" s="44"/>
      <c r="T38" s="68"/>
      <c r="V38" s="68"/>
      <c r="W38" s="47"/>
      <c r="AN38" s="47"/>
      <c r="AO38" s="47"/>
      <c r="AR38" s="72"/>
    </row>
    <row r="39" spans="1:44">
      <c r="A39" s="75" t="s">
        <v>32</v>
      </c>
      <c r="B39" s="44">
        <f>D14</f>
        <v>0</v>
      </c>
      <c r="C39" s="44">
        <f>D15</f>
        <v>0</v>
      </c>
      <c r="D39" s="44">
        <f>D16</f>
        <v>50000</v>
      </c>
      <c r="E39" s="44">
        <f>D17</f>
        <v>0</v>
      </c>
      <c r="F39" s="44">
        <f>D18</f>
        <v>0</v>
      </c>
      <c r="G39" s="44">
        <f>D19</f>
        <v>0</v>
      </c>
      <c r="H39" s="44">
        <f>D20</f>
        <v>0</v>
      </c>
      <c r="I39" s="44">
        <f>D21</f>
        <v>50000</v>
      </c>
      <c r="J39" s="44">
        <f>D22</f>
        <v>0</v>
      </c>
      <c r="K39" s="44">
        <f>D23</f>
        <v>0</v>
      </c>
      <c r="M39" s="44"/>
      <c r="N39" s="44"/>
      <c r="T39" s="68"/>
      <c r="V39" s="68"/>
      <c r="W39" s="47"/>
      <c r="AN39" s="47"/>
      <c r="AO39" s="47"/>
    </row>
    <row r="40" spans="1:44">
      <c r="A40" s="75" t="s">
        <v>33</v>
      </c>
      <c r="B40" s="44">
        <f t="shared" ref="B40:K40" si="16">B33</f>
        <v>29090.909090909092</v>
      </c>
      <c r="C40" s="44">
        <f t="shared" si="16"/>
        <v>29090.909090909092</v>
      </c>
      <c r="D40" s="44">
        <f t="shared" si="16"/>
        <v>29090.909090909092</v>
      </c>
      <c r="E40" s="44">
        <f t="shared" si="16"/>
        <v>29090.909090909092</v>
      </c>
      <c r="F40" s="44">
        <f t="shared" si="16"/>
        <v>29090.909090909092</v>
      </c>
      <c r="G40" s="44">
        <f t="shared" si="16"/>
        <v>29090.909090909092</v>
      </c>
      <c r="H40" s="44">
        <f t="shared" si="16"/>
        <v>29090.909090909092</v>
      </c>
      <c r="I40" s="44">
        <f t="shared" si="16"/>
        <v>29090.909090909092</v>
      </c>
      <c r="J40" s="44">
        <f t="shared" si="16"/>
        <v>29090.909090909092</v>
      </c>
      <c r="K40" s="44">
        <f t="shared" si="16"/>
        <v>29090.909090909092</v>
      </c>
      <c r="L40" s="65" t="s">
        <v>34</v>
      </c>
      <c r="M40" s="44">
        <f>M33</f>
        <v>809090.90909090906</v>
      </c>
      <c r="N40" s="44"/>
      <c r="T40" s="68"/>
      <c r="V40" s="68"/>
      <c r="W40" s="47"/>
      <c r="AN40" s="47"/>
      <c r="AO40" s="47"/>
    </row>
    <row r="41" spans="1:44">
      <c r="A41" s="75" t="s">
        <v>35</v>
      </c>
      <c r="B41" s="44">
        <f t="shared" ref="B41:K41" si="17">B36-B39+B40</f>
        <v>49181.818181818177</v>
      </c>
      <c r="C41" s="44">
        <f t="shared" si="17"/>
        <v>49571.818181818177</v>
      </c>
      <c r="D41" s="44">
        <f t="shared" si="17"/>
        <v>-34.28181818181838</v>
      </c>
      <c r="E41" s="44">
        <f t="shared" si="17"/>
        <v>50363.557181818178</v>
      </c>
      <c r="F41" s="44">
        <f t="shared" si="17"/>
        <v>50765.374571818174</v>
      </c>
      <c r="G41" s="44">
        <f t="shared" si="17"/>
        <v>51171.210135718182</v>
      </c>
      <c r="H41" s="44">
        <f t="shared" si="17"/>
        <v>51581.104055257179</v>
      </c>
      <c r="I41" s="44">
        <f t="shared" si="17"/>
        <v>1995.0969139915724</v>
      </c>
      <c r="J41" s="44">
        <f t="shared" si="17"/>
        <v>52413.229701313307</v>
      </c>
      <c r="K41" s="44">
        <f t="shared" si="17"/>
        <v>52835.54381650826</v>
      </c>
      <c r="L41" s="65" t="s">
        <v>36</v>
      </c>
      <c r="M41" s="44">
        <f>M36+M40</f>
        <v>1031201.5338722512</v>
      </c>
      <c r="N41" s="44">
        <f>K41+M41</f>
        <v>1084037.0776887594</v>
      </c>
      <c r="T41" s="68"/>
      <c r="V41" s="68"/>
      <c r="W41" s="47"/>
      <c r="AN41" s="47"/>
      <c r="AO41" s="47"/>
    </row>
    <row r="42" spans="1:44">
      <c r="M42" s="44"/>
      <c r="N42" s="44"/>
      <c r="T42" s="68"/>
      <c r="V42" s="68"/>
      <c r="W42" s="47"/>
      <c r="AN42" s="47"/>
      <c r="AO42" s="47"/>
    </row>
    <row r="43" spans="1:44">
      <c r="A43" s="75" t="s">
        <v>37</v>
      </c>
      <c r="B43" s="44">
        <f t="shared" ref="B43:K43" si="18">B35</f>
        <v>10818.181818181818</v>
      </c>
      <c r="C43" s="44">
        <f t="shared" si="18"/>
        <v>11028.181818181818</v>
      </c>
      <c r="D43" s="44">
        <f t="shared" si="18"/>
        <v>11240.281818181817</v>
      </c>
      <c r="E43" s="44">
        <f t="shared" si="18"/>
        <v>11454.502818181816</v>
      </c>
      <c r="F43" s="44">
        <f t="shared" si="18"/>
        <v>11670.866028181816</v>
      </c>
      <c r="G43" s="44">
        <f t="shared" si="18"/>
        <v>11889.392870281816</v>
      </c>
      <c r="H43" s="44">
        <f t="shared" si="18"/>
        <v>12110.104980802818</v>
      </c>
      <c r="I43" s="44">
        <f t="shared" si="18"/>
        <v>12333.024212429025</v>
      </c>
      <c r="J43" s="44">
        <f t="shared" si="18"/>
        <v>12558.172636371501</v>
      </c>
      <c r="K43" s="44">
        <f t="shared" si="18"/>
        <v>12785.572544553395</v>
      </c>
      <c r="L43" s="65" t="s">
        <v>38</v>
      </c>
      <c r="M43" s="44">
        <f>M35</f>
        <v>73420.59153895342</v>
      </c>
      <c r="N43" s="44"/>
      <c r="T43" s="68"/>
      <c r="V43" s="68"/>
      <c r="W43" s="47"/>
      <c r="AN43" s="47"/>
      <c r="AO43" s="47"/>
    </row>
    <row r="44" spans="1:44">
      <c r="A44" s="75" t="s">
        <v>39</v>
      </c>
      <c r="B44" s="44">
        <f t="shared" ref="B44:K44" si="19">B41+B43</f>
        <v>59999.999999999993</v>
      </c>
      <c r="C44" s="44">
        <f t="shared" si="19"/>
        <v>60599.999999999993</v>
      </c>
      <c r="D44" s="44">
        <f t="shared" si="19"/>
        <v>11205.999999999998</v>
      </c>
      <c r="E44" s="44">
        <f t="shared" si="19"/>
        <v>61818.06</v>
      </c>
      <c r="F44" s="44">
        <f t="shared" si="19"/>
        <v>62436.24059999999</v>
      </c>
      <c r="G44" s="44">
        <f t="shared" si="19"/>
        <v>63060.603005999998</v>
      </c>
      <c r="H44" s="44">
        <f t="shared" si="19"/>
        <v>63691.209036059998</v>
      </c>
      <c r="I44" s="44">
        <f t="shared" si="19"/>
        <v>14328.121126420598</v>
      </c>
      <c r="J44" s="44">
        <f t="shared" si="19"/>
        <v>64971.402337684805</v>
      </c>
      <c r="K44" s="44">
        <f t="shared" si="19"/>
        <v>65621.11636106165</v>
      </c>
      <c r="L44" s="65" t="s">
        <v>39</v>
      </c>
      <c r="M44" s="44">
        <f>M41+M43</f>
        <v>1104622.1254112045</v>
      </c>
      <c r="N44" s="44">
        <f>K44+M44</f>
        <v>1170243.2417722661</v>
      </c>
      <c r="T44" s="68"/>
      <c r="V44" s="68"/>
      <c r="W44" s="47"/>
      <c r="AN44" s="47"/>
      <c r="AO44" s="47"/>
    </row>
    <row r="45" spans="1:44">
      <c r="M45" s="44"/>
      <c r="N45" s="44"/>
      <c r="T45" s="68"/>
      <c r="V45" s="68"/>
      <c r="W45" s="47"/>
      <c r="AN45" s="47"/>
      <c r="AO45" s="47"/>
    </row>
    <row r="46" spans="1:44">
      <c r="M46" s="44"/>
      <c r="N46" s="44"/>
      <c r="T46" s="68"/>
      <c r="V46" s="68"/>
      <c r="W46" s="47"/>
      <c r="AN46" s="47"/>
      <c r="AO46" s="47"/>
    </row>
    <row r="47" spans="1:44" ht="22.8">
      <c r="A47" s="83" t="s">
        <v>40</v>
      </c>
      <c r="M47" s="44"/>
      <c r="N47" s="44"/>
      <c r="T47" s="68"/>
      <c r="V47" s="68"/>
      <c r="AN47" s="47"/>
      <c r="AO47" s="47"/>
    </row>
    <row r="48" spans="1:44">
      <c r="M48" s="44"/>
      <c r="N48" s="44"/>
      <c r="T48" s="68"/>
      <c r="V48" s="68"/>
      <c r="AN48" s="47"/>
      <c r="AO48" s="47"/>
    </row>
    <row r="49" spans="1:43">
      <c r="A49" s="43" t="s">
        <v>41</v>
      </c>
      <c r="C49" s="84">
        <f>B13</f>
        <v>1000000</v>
      </c>
      <c r="E49" s="43"/>
      <c r="F49" s="65" t="s">
        <v>42</v>
      </c>
      <c r="G49" s="65" t="s">
        <v>43</v>
      </c>
      <c r="H49" s="43"/>
      <c r="M49" s="44"/>
      <c r="N49" s="44"/>
      <c r="V49" s="68"/>
      <c r="AN49" s="47"/>
      <c r="AO49" s="47"/>
    </row>
    <row r="50" spans="1:43">
      <c r="A50" s="43" t="s">
        <v>44</v>
      </c>
      <c r="C50" s="44">
        <f>B13*G6</f>
        <v>800000</v>
      </c>
      <c r="E50" s="65" t="s">
        <v>45</v>
      </c>
      <c r="F50" s="64">
        <f>E25</f>
        <v>6.0428831757567192E-2</v>
      </c>
      <c r="G50" s="64">
        <f>L25</f>
        <v>7.3970856701934817E-2</v>
      </c>
      <c r="H50" s="43"/>
      <c r="M50" s="44"/>
      <c r="N50" s="44"/>
      <c r="AN50" s="47"/>
      <c r="AO50" s="47"/>
    </row>
    <row r="51" spans="1:43">
      <c r="A51" s="43" t="s">
        <v>46</v>
      </c>
      <c r="C51" s="64">
        <f>C8</f>
        <v>0.35</v>
      </c>
      <c r="E51" s="65" t="s">
        <v>47</v>
      </c>
      <c r="F51" s="64">
        <f>H25</f>
        <v>4.75680762050541E-2</v>
      </c>
      <c r="G51" s="64">
        <f>M25</f>
        <v>6.4376056243433899E-2</v>
      </c>
      <c r="H51" s="43"/>
      <c r="M51" s="44"/>
      <c r="N51" s="44"/>
      <c r="AN51" s="47"/>
      <c r="AO51" s="47"/>
    </row>
    <row r="52" spans="1:43">
      <c r="A52" s="43" t="s">
        <v>48</v>
      </c>
      <c r="C52" s="64">
        <f>G8</f>
        <v>0.15</v>
      </c>
      <c r="E52" s="65" t="s">
        <v>49</v>
      </c>
      <c r="F52" s="85">
        <f>F51/F50</f>
        <v>0.78717517485512856</v>
      </c>
      <c r="G52" s="85">
        <f>G51/G50</f>
        <v>0.87028945065266561</v>
      </c>
      <c r="M52" s="44"/>
      <c r="N52" s="44"/>
      <c r="AN52" s="47"/>
      <c r="AO52" s="47"/>
    </row>
    <row r="53" spans="1:43">
      <c r="A53" s="43" t="s">
        <v>50</v>
      </c>
      <c r="B53" s="44" t="s">
        <v>51</v>
      </c>
      <c r="C53" s="64">
        <f>G9</f>
        <v>0.25</v>
      </c>
      <c r="D53" s="44" t="s">
        <v>51</v>
      </c>
      <c r="E53" s="44" t="s">
        <v>51</v>
      </c>
      <c r="F53" s="44" t="s">
        <v>51</v>
      </c>
      <c r="G53" s="44" t="s">
        <v>51</v>
      </c>
      <c r="H53" s="44" t="s">
        <v>51</v>
      </c>
      <c r="I53" s="44" t="s">
        <v>51</v>
      </c>
      <c r="J53" s="44" t="s">
        <v>51</v>
      </c>
      <c r="K53" s="44" t="s">
        <v>51</v>
      </c>
      <c r="L53" s="44" t="s">
        <v>51</v>
      </c>
      <c r="M53" s="43" t="s">
        <v>51</v>
      </c>
      <c r="N53" s="43" t="s">
        <v>51</v>
      </c>
      <c r="AL53" s="44"/>
      <c r="AN53" s="47"/>
      <c r="AO53" s="47"/>
    </row>
    <row r="54" spans="1:43">
      <c r="A54" s="44"/>
      <c r="H54" s="43"/>
      <c r="AL54" s="44"/>
      <c r="AN54" s="68"/>
      <c r="AO54" s="68"/>
    </row>
    <row r="55" spans="1:43">
      <c r="B55" s="71" t="s">
        <v>99</v>
      </c>
      <c r="K55" s="65" t="s">
        <v>15</v>
      </c>
      <c r="L55" s="65" t="s">
        <v>16</v>
      </c>
      <c r="M55" s="65" t="s">
        <v>17</v>
      </c>
      <c r="N55" s="65" t="s">
        <v>107</v>
      </c>
      <c r="AL55" s="44"/>
      <c r="AN55" s="47"/>
      <c r="AO55" s="47"/>
    </row>
    <row r="56" spans="1:43">
      <c r="A56" s="43" t="s">
        <v>18</v>
      </c>
      <c r="B56" s="86">
        <v>1</v>
      </c>
      <c r="C56" s="86">
        <v>2</v>
      </c>
      <c r="D56" s="86">
        <v>3</v>
      </c>
      <c r="E56" s="86">
        <v>4</v>
      </c>
      <c r="F56" s="86">
        <v>5</v>
      </c>
      <c r="G56" s="86">
        <v>6</v>
      </c>
      <c r="H56" s="86">
        <v>7</v>
      </c>
      <c r="I56" s="86">
        <v>8</v>
      </c>
      <c r="J56" s="86">
        <v>9</v>
      </c>
      <c r="K56" s="65" t="s">
        <v>19</v>
      </c>
      <c r="L56" s="65" t="s">
        <v>52</v>
      </c>
      <c r="M56" s="65" t="s">
        <v>19</v>
      </c>
      <c r="N56" s="65" t="s">
        <v>19</v>
      </c>
      <c r="AL56" s="44"/>
      <c r="AN56" s="68"/>
      <c r="AO56" s="68"/>
    </row>
    <row r="57" spans="1:43">
      <c r="A57" s="43" t="s">
        <v>21</v>
      </c>
      <c r="M57" s="44"/>
      <c r="N57" s="44"/>
      <c r="AL57" s="44"/>
      <c r="AN57" s="47"/>
      <c r="AO57" s="47"/>
    </row>
    <row r="58" spans="1:43">
      <c r="A58" s="75" t="s">
        <v>118</v>
      </c>
      <c r="B58" s="44">
        <f t="shared" ref="B58:K58" si="20">B32</f>
        <v>60000</v>
      </c>
      <c r="C58" s="44">
        <f t="shared" si="20"/>
        <v>60600</v>
      </c>
      <c r="D58" s="44">
        <f t="shared" si="20"/>
        <v>61206</v>
      </c>
      <c r="E58" s="44">
        <f t="shared" si="20"/>
        <v>61818.06</v>
      </c>
      <c r="F58" s="44">
        <f t="shared" si="20"/>
        <v>62436.240599999997</v>
      </c>
      <c r="G58" s="44">
        <f t="shared" si="20"/>
        <v>63060.603005999998</v>
      </c>
      <c r="H58" s="44">
        <f t="shared" si="20"/>
        <v>63691.209036059998</v>
      </c>
      <c r="I58" s="44">
        <f t="shared" si="20"/>
        <v>64328.121126420599</v>
      </c>
      <c r="J58" s="44">
        <f t="shared" si="20"/>
        <v>64971.402337684805</v>
      </c>
      <c r="K58" s="44">
        <f t="shared" si="20"/>
        <v>65621.11636106165</v>
      </c>
      <c r="L58" s="65" t="s">
        <v>22</v>
      </c>
      <c r="M58" s="44">
        <f>M32</f>
        <v>1104622.1254112045</v>
      </c>
      <c r="N58" s="44"/>
      <c r="AL58" s="44"/>
      <c r="AN58" s="47"/>
      <c r="AO58" s="47"/>
    </row>
    <row r="59" spans="1:43">
      <c r="A59" s="75" t="s">
        <v>53</v>
      </c>
      <c r="B59" s="44">
        <f t="shared" ref="B59:K59" si="21">B33</f>
        <v>29090.909090909092</v>
      </c>
      <c r="C59" s="44">
        <f t="shared" si="21"/>
        <v>29090.909090909092</v>
      </c>
      <c r="D59" s="44">
        <f t="shared" si="21"/>
        <v>29090.909090909092</v>
      </c>
      <c r="E59" s="44">
        <f t="shared" si="21"/>
        <v>29090.909090909092</v>
      </c>
      <c r="F59" s="44">
        <f t="shared" si="21"/>
        <v>29090.909090909092</v>
      </c>
      <c r="G59" s="44">
        <f t="shared" si="21"/>
        <v>29090.909090909092</v>
      </c>
      <c r="H59" s="44">
        <f t="shared" si="21"/>
        <v>29090.909090909092</v>
      </c>
      <c r="I59" s="44">
        <f t="shared" si="21"/>
        <v>29090.909090909092</v>
      </c>
      <c r="J59" s="44">
        <f t="shared" si="21"/>
        <v>29090.909090909092</v>
      </c>
      <c r="K59" s="44">
        <f t="shared" si="21"/>
        <v>29090.909090909092</v>
      </c>
      <c r="L59" s="65" t="s">
        <v>24</v>
      </c>
      <c r="M59" s="44">
        <f>M33</f>
        <v>809090.90909090906</v>
      </c>
      <c r="N59" s="44"/>
      <c r="AL59" s="44"/>
      <c r="AN59" s="68"/>
      <c r="AO59" s="47"/>
      <c r="AP59" s="68"/>
    </row>
    <row r="60" spans="1:43">
      <c r="A60" s="75" t="s">
        <v>54</v>
      </c>
      <c r="B60" s="44">
        <f>$J$7*I13</f>
        <v>41250</v>
      </c>
      <c r="C60" s="44">
        <f>$J$7*I14</f>
        <v>41140</v>
      </c>
      <c r="D60" s="44">
        <f>$J$7*$I15</f>
        <v>41030</v>
      </c>
      <c r="E60" s="44">
        <f>$J$7*$I16</f>
        <v>40920</v>
      </c>
      <c r="F60" s="44">
        <f>$J$7*$I17</f>
        <v>40810</v>
      </c>
      <c r="G60" s="44">
        <f>$J$7*$I18</f>
        <v>40700</v>
      </c>
      <c r="H60" s="44">
        <f>$J$7*$I19</f>
        <v>40590</v>
      </c>
      <c r="I60" s="44">
        <f>$J$7*$I20</f>
        <v>40480</v>
      </c>
      <c r="J60" s="44">
        <f>$J$7*$I21</f>
        <v>40370</v>
      </c>
      <c r="K60" s="44">
        <f>$J$7*$I22</f>
        <v>40260</v>
      </c>
      <c r="M60" s="44"/>
      <c r="N60" s="44"/>
      <c r="AL60" s="44"/>
      <c r="AN60" s="68"/>
      <c r="AO60" s="47"/>
      <c r="AP60" s="68"/>
    </row>
    <row r="61" spans="1:43">
      <c r="A61" s="75" t="s">
        <v>55</v>
      </c>
      <c r="B61" s="44">
        <f t="shared" ref="B61:K61" si="22">B58-B59-B60</f>
        <v>-10340.909090909092</v>
      </c>
      <c r="C61" s="44">
        <f t="shared" si="22"/>
        <v>-9630.9090909090919</v>
      </c>
      <c r="D61" s="44">
        <f t="shared" si="22"/>
        <v>-8914.9090909090919</v>
      </c>
      <c r="E61" s="44">
        <f t="shared" si="22"/>
        <v>-8192.8490909090942</v>
      </c>
      <c r="F61" s="44">
        <f t="shared" si="22"/>
        <v>-7464.6684909090982</v>
      </c>
      <c r="G61" s="44">
        <f t="shared" si="22"/>
        <v>-6730.306084909098</v>
      </c>
      <c r="H61" s="44">
        <f t="shared" si="22"/>
        <v>-5989.7000548490905</v>
      </c>
      <c r="I61" s="44">
        <f t="shared" si="22"/>
        <v>-5242.7879644884961</v>
      </c>
      <c r="J61" s="44">
        <f t="shared" si="22"/>
        <v>-4489.5067532242829</v>
      </c>
      <c r="K61" s="44">
        <f t="shared" si="22"/>
        <v>-3729.7927298474387</v>
      </c>
      <c r="L61" s="65" t="s">
        <v>26</v>
      </c>
      <c r="M61" s="44">
        <f>M58-M59</f>
        <v>295531.21632029547</v>
      </c>
      <c r="N61" s="44">
        <f>K61+M61</f>
        <v>291801.42359044804</v>
      </c>
      <c r="AL61" s="44"/>
      <c r="AN61" s="68"/>
      <c r="AO61" s="47"/>
      <c r="AP61" s="68"/>
    </row>
    <row r="62" spans="1:43">
      <c r="A62" s="75" t="s">
        <v>27</v>
      </c>
      <c r="B62" s="44">
        <f t="shared" ref="B62:K62" si="23">$C$8*B61</f>
        <v>-3619.318181818182</v>
      </c>
      <c r="C62" s="44">
        <f t="shared" si="23"/>
        <v>-3370.818181818182</v>
      </c>
      <c r="D62" s="44">
        <f t="shared" si="23"/>
        <v>-3120.2181818181821</v>
      </c>
      <c r="E62" s="44">
        <f t="shared" si="23"/>
        <v>-2867.497181818183</v>
      </c>
      <c r="F62" s="44">
        <f t="shared" si="23"/>
        <v>-2612.6339718181844</v>
      </c>
      <c r="G62" s="44">
        <f t="shared" si="23"/>
        <v>-2355.6071297181843</v>
      </c>
      <c r="H62" s="44">
        <f t="shared" si="23"/>
        <v>-2096.3950191971817</v>
      </c>
      <c r="I62" s="44">
        <f t="shared" si="23"/>
        <v>-1834.9757875709736</v>
      </c>
      <c r="J62" s="44">
        <f t="shared" si="23"/>
        <v>-1571.3273636284989</v>
      </c>
      <c r="K62" s="44">
        <f t="shared" si="23"/>
        <v>-1305.4274554466035</v>
      </c>
      <c r="L62" s="65" t="s">
        <v>28</v>
      </c>
      <c r="M62" s="44">
        <f>M35</f>
        <v>73420.59153895342</v>
      </c>
      <c r="N62" s="44"/>
      <c r="AL62" s="44"/>
      <c r="AN62" s="47"/>
      <c r="AO62" s="47"/>
    </row>
    <row r="63" spans="1:43">
      <c r="A63" s="75" t="s">
        <v>56</v>
      </c>
      <c r="B63" s="44">
        <f t="shared" ref="B63:K63" si="24">B61-B62</f>
        <v>-6721.5909090909099</v>
      </c>
      <c r="C63" s="44">
        <f t="shared" si="24"/>
        <v>-6260.0909090909099</v>
      </c>
      <c r="D63" s="44">
        <f t="shared" si="24"/>
        <v>-5794.6909090909103</v>
      </c>
      <c r="E63" s="44">
        <f t="shared" si="24"/>
        <v>-5325.3519090909112</v>
      </c>
      <c r="F63" s="44">
        <f t="shared" si="24"/>
        <v>-4852.0345190909138</v>
      </c>
      <c r="G63" s="44">
        <f t="shared" si="24"/>
        <v>-4374.6989551909137</v>
      </c>
      <c r="H63" s="44">
        <f t="shared" si="24"/>
        <v>-3893.3050356519088</v>
      </c>
      <c r="I63" s="44">
        <f t="shared" si="24"/>
        <v>-3407.8121769175223</v>
      </c>
      <c r="J63" s="44">
        <f t="shared" si="24"/>
        <v>-2918.179389595784</v>
      </c>
      <c r="K63" s="44">
        <f t="shared" si="24"/>
        <v>-2424.365274400835</v>
      </c>
      <c r="L63" s="65" t="s">
        <v>57</v>
      </c>
      <c r="M63" s="44">
        <f>M61-M62</f>
        <v>222110.62478134205</v>
      </c>
      <c r="N63" s="44">
        <f>K63+M63</f>
        <v>219686.25950694122</v>
      </c>
      <c r="AL63" s="44"/>
      <c r="AN63" s="68"/>
      <c r="AO63" s="47"/>
      <c r="AP63" s="68"/>
      <c r="AQ63" s="47"/>
    </row>
    <row r="64" spans="1:43">
      <c r="M64" s="44"/>
      <c r="N64" s="44"/>
      <c r="AL64" s="44"/>
      <c r="AN64" s="68"/>
      <c r="AO64" s="47"/>
      <c r="AP64" s="68"/>
    </row>
    <row r="65" spans="1:42">
      <c r="A65" s="43" t="s">
        <v>31</v>
      </c>
      <c r="M65" s="44"/>
      <c r="N65" s="44"/>
      <c r="AL65" s="44"/>
      <c r="AN65" s="68"/>
      <c r="AO65" s="47"/>
      <c r="AP65" s="68"/>
    </row>
    <row r="66" spans="1:42">
      <c r="A66" s="75" t="s">
        <v>58</v>
      </c>
      <c r="B66" s="44">
        <f t="shared" ref="B66:K66" si="25">B39</f>
        <v>0</v>
      </c>
      <c r="C66" s="44">
        <f t="shared" si="25"/>
        <v>0</v>
      </c>
      <c r="D66" s="44">
        <f t="shared" si="25"/>
        <v>50000</v>
      </c>
      <c r="E66" s="44">
        <f t="shared" si="25"/>
        <v>0</v>
      </c>
      <c r="F66" s="44">
        <f t="shared" si="25"/>
        <v>0</v>
      </c>
      <c r="G66" s="44">
        <f t="shared" si="25"/>
        <v>0</v>
      </c>
      <c r="H66" s="44">
        <f t="shared" si="25"/>
        <v>0</v>
      </c>
      <c r="I66" s="44">
        <f t="shared" si="25"/>
        <v>50000</v>
      </c>
      <c r="J66" s="44">
        <f t="shared" si="25"/>
        <v>0</v>
      </c>
      <c r="K66" s="44">
        <f t="shared" si="25"/>
        <v>0</v>
      </c>
      <c r="M66" s="44"/>
      <c r="N66" s="44"/>
      <c r="AL66" s="44"/>
      <c r="AN66" s="68"/>
      <c r="AO66" s="47"/>
      <c r="AP66" s="68"/>
    </row>
    <row r="67" spans="1:42">
      <c r="A67" s="75" t="s">
        <v>59</v>
      </c>
      <c r="B67" s="44">
        <f t="shared" ref="B67:K67" si="26">B59</f>
        <v>29090.909090909092</v>
      </c>
      <c r="C67" s="44">
        <f t="shared" si="26"/>
        <v>29090.909090909092</v>
      </c>
      <c r="D67" s="44">
        <f t="shared" si="26"/>
        <v>29090.909090909092</v>
      </c>
      <c r="E67" s="44">
        <f t="shared" si="26"/>
        <v>29090.909090909092</v>
      </c>
      <c r="F67" s="44">
        <f t="shared" si="26"/>
        <v>29090.909090909092</v>
      </c>
      <c r="G67" s="44">
        <f t="shared" si="26"/>
        <v>29090.909090909092</v>
      </c>
      <c r="H67" s="44">
        <f t="shared" si="26"/>
        <v>29090.909090909092</v>
      </c>
      <c r="I67" s="44">
        <f t="shared" si="26"/>
        <v>29090.909090909092</v>
      </c>
      <c r="J67" s="44">
        <f t="shared" si="26"/>
        <v>29090.909090909092</v>
      </c>
      <c r="K67" s="44">
        <f t="shared" si="26"/>
        <v>29090.909090909092</v>
      </c>
      <c r="L67" s="65" t="s">
        <v>34</v>
      </c>
      <c r="M67" s="44">
        <f>M59</f>
        <v>809090.90909090906</v>
      </c>
      <c r="N67" s="44"/>
      <c r="AL67" s="44"/>
      <c r="AN67" s="47"/>
      <c r="AO67" s="47"/>
      <c r="AP67" s="68"/>
    </row>
    <row r="68" spans="1:42">
      <c r="A68" s="75" t="s">
        <v>60</v>
      </c>
      <c r="B68" s="44">
        <f t="shared" ref="B68:K68" si="27">$J$8</f>
        <v>2000</v>
      </c>
      <c r="C68" s="44">
        <f t="shared" si="27"/>
        <v>2000</v>
      </c>
      <c r="D68" s="44">
        <f t="shared" si="27"/>
        <v>2000</v>
      </c>
      <c r="E68" s="44">
        <f t="shared" si="27"/>
        <v>2000</v>
      </c>
      <c r="F68" s="44">
        <f t="shared" si="27"/>
        <v>2000</v>
      </c>
      <c r="G68" s="44">
        <f t="shared" si="27"/>
        <v>2000</v>
      </c>
      <c r="H68" s="44">
        <f t="shared" si="27"/>
        <v>2000</v>
      </c>
      <c r="I68" s="44">
        <f t="shared" si="27"/>
        <v>2000</v>
      </c>
      <c r="J68" s="44">
        <f t="shared" si="27"/>
        <v>2000</v>
      </c>
      <c r="K68" s="44">
        <f t="shared" si="27"/>
        <v>2000</v>
      </c>
      <c r="L68" s="65" t="s">
        <v>61</v>
      </c>
      <c r="M68" s="44">
        <f>J6-SUM(B68:K68)</f>
        <v>730000</v>
      </c>
      <c r="N68" s="44"/>
      <c r="AL68" s="44"/>
      <c r="AN68" s="47"/>
      <c r="AO68" s="47"/>
    </row>
    <row r="69" spans="1:42">
      <c r="A69" s="75" t="s">
        <v>62</v>
      </c>
      <c r="B69" s="44">
        <f t="shared" ref="B69:K69" si="28">B63-B66+B67-B68</f>
        <v>20369.318181818184</v>
      </c>
      <c r="C69" s="44">
        <f t="shared" si="28"/>
        <v>20830.818181818184</v>
      </c>
      <c r="D69" s="44">
        <f t="shared" si="28"/>
        <v>-28703.781818181818</v>
      </c>
      <c r="E69" s="44">
        <f t="shared" si="28"/>
        <v>21765.557181818182</v>
      </c>
      <c r="F69" s="44">
        <f t="shared" si="28"/>
        <v>22238.874571818178</v>
      </c>
      <c r="G69" s="44">
        <f t="shared" si="28"/>
        <v>22716.210135718178</v>
      </c>
      <c r="H69" s="44">
        <f t="shared" si="28"/>
        <v>23197.604055257183</v>
      </c>
      <c r="I69" s="44">
        <f t="shared" si="28"/>
        <v>-26316.903086008428</v>
      </c>
      <c r="J69" s="44">
        <f t="shared" si="28"/>
        <v>24172.729701313307</v>
      </c>
      <c r="K69" s="44">
        <f t="shared" si="28"/>
        <v>24666.543816508256</v>
      </c>
      <c r="L69" s="65" t="s">
        <v>62</v>
      </c>
      <c r="M69" s="44">
        <f>M63+M67-M68</f>
        <v>301201.53387225117</v>
      </c>
      <c r="N69" s="44">
        <f>K69+M69</f>
        <v>325868.07768875943</v>
      </c>
      <c r="AL69" s="44"/>
      <c r="AN69" s="47"/>
      <c r="AO69" s="47"/>
    </row>
    <row r="70" spans="1:42">
      <c r="M70" s="44"/>
      <c r="N70" s="44"/>
      <c r="AL70" s="44"/>
      <c r="AN70" s="47"/>
      <c r="AO70" s="47"/>
    </row>
    <row r="71" spans="1:42">
      <c r="A71" s="75" t="s">
        <v>37</v>
      </c>
      <c r="B71" s="44">
        <f t="shared" ref="B71:K71" si="29">B62</f>
        <v>-3619.318181818182</v>
      </c>
      <c r="C71" s="44">
        <f t="shared" si="29"/>
        <v>-3370.818181818182</v>
      </c>
      <c r="D71" s="44">
        <f t="shared" si="29"/>
        <v>-3120.2181818181821</v>
      </c>
      <c r="E71" s="44">
        <f t="shared" si="29"/>
        <v>-2867.497181818183</v>
      </c>
      <c r="F71" s="44">
        <f t="shared" si="29"/>
        <v>-2612.6339718181844</v>
      </c>
      <c r="G71" s="44">
        <f t="shared" si="29"/>
        <v>-2355.6071297181843</v>
      </c>
      <c r="H71" s="44">
        <f t="shared" si="29"/>
        <v>-2096.3950191971817</v>
      </c>
      <c r="I71" s="44">
        <f t="shared" si="29"/>
        <v>-1834.9757875709736</v>
      </c>
      <c r="J71" s="44">
        <f t="shared" si="29"/>
        <v>-1571.3273636284989</v>
      </c>
      <c r="K71" s="44">
        <f t="shared" si="29"/>
        <v>-1305.4274554466035</v>
      </c>
      <c r="L71" s="65" t="s">
        <v>38</v>
      </c>
      <c r="M71" s="44">
        <f>M62</f>
        <v>73420.59153895342</v>
      </c>
      <c r="N71" s="44"/>
      <c r="AL71" s="44"/>
      <c r="AN71" s="47"/>
      <c r="AO71" s="47"/>
    </row>
    <row r="72" spans="1:42">
      <c r="A72" s="75" t="s">
        <v>63</v>
      </c>
      <c r="B72" s="44">
        <f t="shared" ref="B72:K72" si="30">B69+B71</f>
        <v>16750</v>
      </c>
      <c r="C72" s="44">
        <f t="shared" si="30"/>
        <v>17460</v>
      </c>
      <c r="D72" s="44">
        <f t="shared" si="30"/>
        <v>-31824</v>
      </c>
      <c r="E72" s="44">
        <f t="shared" si="30"/>
        <v>18898.059999999998</v>
      </c>
      <c r="F72" s="44">
        <f t="shared" si="30"/>
        <v>19626.240599999994</v>
      </c>
      <c r="G72" s="44">
        <f t="shared" si="30"/>
        <v>20360.603005999994</v>
      </c>
      <c r="H72" s="44">
        <f t="shared" si="30"/>
        <v>21101.209036060001</v>
      </c>
      <c r="I72" s="44">
        <f t="shared" si="30"/>
        <v>-28151.878873579401</v>
      </c>
      <c r="J72" s="44">
        <f t="shared" si="30"/>
        <v>22601.402337684809</v>
      </c>
      <c r="K72" s="44">
        <f t="shared" si="30"/>
        <v>23361.116361061653</v>
      </c>
      <c r="L72" s="65" t="s">
        <v>63</v>
      </c>
      <c r="M72" s="44">
        <f>M69+M71</f>
        <v>374622.12541120459</v>
      </c>
      <c r="N72" s="44">
        <f>K72+M72</f>
        <v>397983.24177226622</v>
      </c>
      <c r="AL72" s="44"/>
      <c r="AN72" s="47"/>
      <c r="AO72" s="47"/>
    </row>
    <row r="73" spans="1:42">
      <c r="M73" s="44"/>
      <c r="N73" s="44"/>
      <c r="AL73" s="44"/>
      <c r="AN73" s="47"/>
      <c r="AO73" s="47"/>
    </row>
    <row r="74" spans="1:42">
      <c r="A74" s="43" t="s">
        <v>51</v>
      </c>
      <c r="B74" s="44" t="s">
        <v>51</v>
      </c>
      <c r="C74" s="44" t="s">
        <v>51</v>
      </c>
      <c r="D74" s="44" t="s">
        <v>51</v>
      </c>
      <c r="E74" s="44" t="s">
        <v>51</v>
      </c>
      <c r="F74" s="44" t="s">
        <v>51</v>
      </c>
      <c r="G74" s="44" t="s">
        <v>51</v>
      </c>
      <c r="H74" s="44" t="s">
        <v>51</v>
      </c>
      <c r="I74" s="44" t="s">
        <v>51</v>
      </c>
      <c r="J74" s="44" t="s">
        <v>51</v>
      </c>
      <c r="K74" s="44" t="s">
        <v>51</v>
      </c>
      <c r="L74" s="44" t="s">
        <v>51</v>
      </c>
      <c r="M74" s="44" t="s">
        <v>51</v>
      </c>
      <c r="N74" s="44" t="s">
        <v>51</v>
      </c>
      <c r="O74" s="44"/>
      <c r="P74" s="44"/>
      <c r="Q74" s="44"/>
      <c r="R74" s="44"/>
      <c r="S74" s="44"/>
    </row>
    <row r="75" spans="1:42">
      <c r="A75" s="44" t="s">
        <v>64</v>
      </c>
      <c r="H75" s="43"/>
    </row>
    <row r="76" spans="1:42">
      <c r="B76" s="71" t="s">
        <v>99</v>
      </c>
      <c r="K76" s="65" t="s">
        <v>15</v>
      </c>
      <c r="L76" s="65" t="s">
        <v>16</v>
      </c>
      <c r="M76" s="75" t="s">
        <v>17</v>
      </c>
      <c r="N76" s="75" t="s">
        <v>107</v>
      </c>
    </row>
    <row r="77" spans="1:42">
      <c r="A77" s="43" t="s">
        <v>18</v>
      </c>
      <c r="B77" s="86">
        <v>1</v>
      </c>
      <c r="C77" s="86">
        <v>2</v>
      </c>
      <c r="D77" s="86">
        <v>3</v>
      </c>
      <c r="E77" s="86">
        <v>4</v>
      </c>
      <c r="F77" s="86">
        <v>5</v>
      </c>
      <c r="G77" s="86">
        <v>6</v>
      </c>
      <c r="H77" s="86">
        <v>7</v>
      </c>
      <c r="I77" s="86">
        <v>8</v>
      </c>
      <c r="J77" s="86">
        <v>9</v>
      </c>
      <c r="K77" s="65" t="s">
        <v>19</v>
      </c>
      <c r="L77" s="65" t="s">
        <v>20</v>
      </c>
      <c r="M77" s="75" t="s">
        <v>19</v>
      </c>
      <c r="N77" s="75" t="s">
        <v>19</v>
      </c>
    </row>
    <row r="78" spans="1:42">
      <c r="A78" s="43" t="s">
        <v>21</v>
      </c>
      <c r="M78" s="44"/>
      <c r="N78" s="44"/>
    </row>
    <row r="79" spans="1:42">
      <c r="A79" s="75" t="s">
        <v>118</v>
      </c>
      <c r="B79" s="44">
        <f t="shared" ref="B79:K79" si="31">B58</f>
        <v>60000</v>
      </c>
      <c r="C79" s="44">
        <f t="shared" si="31"/>
        <v>60600</v>
      </c>
      <c r="D79" s="44">
        <f t="shared" si="31"/>
        <v>61206</v>
      </c>
      <c r="E79" s="44">
        <f t="shared" si="31"/>
        <v>61818.06</v>
      </c>
      <c r="F79" s="44">
        <f t="shared" si="31"/>
        <v>62436.240599999997</v>
      </c>
      <c r="G79" s="44">
        <f t="shared" si="31"/>
        <v>63060.603005999998</v>
      </c>
      <c r="H79" s="44">
        <f t="shared" si="31"/>
        <v>63691.209036059998</v>
      </c>
      <c r="I79" s="44">
        <f t="shared" si="31"/>
        <v>64328.121126420599</v>
      </c>
      <c r="J79" s="44">
        <f t="shared" si="31"/>
        <v>64971.402337684805</v>
      </c>
      <c r="K79" s="44">
        <f t="shared" si="31"/>
        <v>65621.11636106165</v>
      </c>
      <c r="L79" s="65" t="s">
        <v>22</v>
      </c>
      <c r="M79" s="44">
        <f>M58</f>
        <v>1104622.1254112045</v>
      </c>
      <c r="N79" s="44"/>
    </row>
    <row r="80" spans="1:42">
      <c r="A80" s="75" t="s">
        <v>58</v>
      </c>
      <c r="B80" s="44">
        <f t="shared" ref="B80:K80" si="32">B66</f>
        <v>0</v>
      </c>
      <c r="C80" s="44">
        <f t="shared" si="32"/>
        <v>0</v>
      </c>
      <c r="D80" s="44">
        <f t="shared" si="32"/>
        <v>50000</v>
      </c>
      <c r="E80" s="44">
        <f t="shared" si="32"/>
        <v>0</v>
      </c>
      <c r="F80" s="44">
        <f t="shared" si="32"/>
        <v>0</v>
      </c>
      <c r="G80" s="44">
        <f t="shared" si="32"/>
        <v>0</v>
      </c>
      <c r="H80" s="44">
        <f t="shared" si="32"/>
        <v>0</v>
      </c>
      <c r="I80" s="44">
        <f t="shared" si="32"/>
        <v>50000</v>
      </c>
      <c r="J80" s="44">
        <f t="shared" si="32"/>
        <v>0</v>
      </c>
      <c r="K80" s="44">
        <f t="shared" si="32"/>
        <v>0</v>
      </c>
      <c r="M80" s="44"/>
      <c r="N80" s="44"/>
    </row>
    <row r="81" spans="1:256">
      <c r="A81" s="75" t="s">
        <v>39</v>
      </c>
      <c r="B81" s="44">
        <f t="shared" ref="B81:K81" si="33">B79-B80</f>
        <v>60000</v>
      </c>
      <c r="C81" s="44">
        <f t="shared" si="33"/>
        <v>60600</v>
      </c>
      <c r="D81" s="44">
        <f t="shared" si="33"/>
        <v>11206</v>
      </c>
      <c r="E81" s="44">
        <f t="shared" si="33"/>
        <v>61818.06</v>
      </c>
      <c r="F81" s="44">
        <f t="shared" si="33"/>
        <v>62436.240599999997</v>
      </c>
      <c r="G81" s="44">
        <f t="shared" si="33"/>
        <v>63060.603005999998</v>
      </c>
      <c r="H81" s="44">
        <f t="shared" si="33"/>
        <v>63691.209036059998</v>
      </c>
      <c r="I81" s="44">
        <f t="shared" si="33"/>
        <v>14328.121126420599</v>
      </c>
      <c r="J81" s="44">
        <f t="shared" si="33"/>
        <v>64971.402337684805</v>
      </c>
      <c r="K81" s="44">
        <f t="shared" si="33"/>
        <v>65621.11636106165</v>
      </c>
      <c r="L81" s="65" t="s">
        <v>39</v>
      </c>
      <c r="M81" s="44">
        <f>M79</f>
        <v>1104622.1254112045</v>
      </c>
      <c r="N81" s="44">
        <f>K81+M81</f>
        <v>1170243.2417722661</v>
      </c>
    </row>
    <row r="82" spans="1:256">
      <c r="A82" s="87" t="s">
        <v>65</v>
      </c>
      <c r="B82" s="44">
        <f t="shared" ref="B82:K82" si="34">B60+B68</f>
        <v>43250</v>
      </c>
      <c r="C82" s="44">
        <f t="shared" si="34"/>
        <v>43140</v>
      </c>
      <c r="D82" s="44">
        <f t="shared" si="34"/>
        <v>43030</v>
      </c>
      <c r="E82" s="44">
        <f t="shared" si="34"/>
        <v>42920</v>
      </c>
      <c r="F82" s="44">
        <f t="shared" si="34"/>
        <v>42810</v>
      </c>
      <c r="G82" s="44">
        <f t="shared" si="34"/>
        <v>42700</v>
      </c>
      <c r="H82" s="44">
        <f t="shared" si="34"/>
        <v>42590</v>
      </c>
      <c r="I82" s="44">
        <f t="shared" si="34"/>
        <v>42480</v>
      </c>
      <c r="J82" s="44">
        <f t="shared" si="34"/>
        <v>42370</v>
      </c>
      <c r="K82" s="44">
        <f t="shared" si="34"/>
        <v>42260</v>
      </c>
      <c r="L82" s="65" t="s">
        <v>66</v>
      </c>
      <c r="M82" s="44">
        <f>I23</f>
        <v>730000</v>
      </c>
      <c r="N82" s="44"/>
    </row>
    <row r="83" spans="1:256">
      <c r="A83" s="75" t="s">
        <v>63</v>
      </c>
      <c r="B83" s="44">
        <f t="shared" ref="B83:K83" si="35">B81-B82</f>
        <v>16750</v>
      </c>
      <c r="C83" s="44">
        <f t="shared" si="35"/>
        <v>17460</v>
      </c>
      <c r="D83" s="44">
        <f t="shared" si="35"/>
        <v>-31824</v>
      </c>
      <c r="E83" s="44">
        <f t="shared" si="35"/>
        <v>18898.059999999998</v>
      </c>
      <c r="F83" s="44">
        <f t="shared" si="35"/>
        <v>19626.240599999997</v>
      </c>
      <c r="G83" s="44">
        <f t="shared" si="35"/>
        <v>20360.603005999998</v>
      </c>
      <c r="H83" s="44">
        <f t="shared" si="35"/>
        <v>21101.209036059998</v>
      </c>
      <c r="I83" s="44">
        <f t="shared" si="35"/>
        <v>-28151.878873579401</v>
      </c>
      <c r="J83" s="44">
        <f t="shared" si="35"/>
        <v>22601.402337684805</v>
      </c>
      <c r="K83" s="44">
        <f t="shared" si="35"/>
        <v>23361.11636106165</v>
      </c>
      <c r="L83" s="65" t="s">
        <v>63</v>
      </c>
      <c r="M83" s="44">
        <f>M81-M82</f>
        <v>374622.12541120453</v>
      </c>
      <c r="N83" s="44">
        <f>K83+M83</f>
        <v>397983.24177226616</v>
      </c>
    </row>
    <row r="84" spans="1:256">
      <c r="A84" s="65" t="s">
        <v>67</v>
      </c>
      <c r="B84" s="44">
        <f t="shared" ref="B84:K84" si="36">$C$8*B79</f>
        <v>21000</v>
      </c>
      <c r="C84" s="44">
        <f t="shared" si="36"/>
        <v>21210</v>
      </c>
      <c r="D84" s="44">
        <f t="shared" si="36"/>
        <v>21422.1</v>
      </c>
      <c r="E84" s="44">
        <f t="shared" si="36"/>
        <v>21636.320999999996</v>
      </c>
      <c r="F84" s="44">
        <f t="shared" si="36"/>
        <v>21852.684209999999</v>
      </c>
      <c r="G84" s="44">
        <f t="shared" si="36"/>
        <v>22071.2110521</v>
      </c>
      <c r="H84" s="44">
        <f t="shared" si="36"/>
        <v>22291.923162620998</v>
      </c>
      <c r="I84" s="44">
        <f t="shared" si="36"/>
        <v>22514.842394247207</v>
      </c>
      <c r="J84" s="44">
        <f t="shared" si="36"/>
        <v>22739.990818189679</v>
      </c>
      <c r="K84" s="44">
        <f t="shared" si="36"/>
        <v>22967.390726371577</v>
      </c>
      <c r="L84" s="65" t="s">
        <v>68</v>
      </c>
      <c r="M84" s="44">
        <f>G8*(M79-(B13+SUM(B80:K80)))</f>
        <v>693.31881168067923</v>
      </c>
      <c r="N84" s="44">
        <f>K84+M84</f>
        <v>23660.709538052255</v>
      </c>
      <c r="O84" s="44"/>
      <c r="P84" s="44"/>
      <c r="Q84" s="44"/>
      <c r="R84" s="44"/>
      <c r="S84" s="44"/>
      <c r="T84" s="44"/>
      <c r="U84" s="64"/>
      <c r="V84" s="6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c r="IU84" s="44"/>
      <c r="IV84" s="44"/>
    </row>
    <row r="85" spans="1:256">
      <c r="A85" s="75" t="s">
        <v>69</v>
      </c>
      <c r="B85" s="44">
        <f t="shared" ref="B85:K85" si="37">$C$8*B59</f>
        <v>10181.818181818182</v>
      </c>
      <c r="C85" s="44">
        <f t="shared" si="37"/>
        <v>10181.818181818182</v>
      </c>
      <c r="D85" s="44">
        <f t="shared" si="37"/>
        <v>10181.818181818182</v>
      </c>
      <c r="E85" s="44">
        <f t="shared" si="37"/>
        <v>10181.818181818182</v>
      </c>
      <c r="F85" s="44">
        <f t="shared" si="37"/>
        <v>10181.818181818182</v>
      </c>
      <c r="G85" s="44">
        <f t="shared" si="37"/>
        <v>10181.818181818182</v>
      </c>
      <c r="H85" s="44">
        <f t="shared" si="37"/>
        <v>10181.818181818182</v>
      </c>
      <c r="I85" s="44">
        <f t="shared" si="37"/>
        <v>10181.818181818182</v>
      </c>
      <c r="J85" s="44">
        <f t="shared" si="37"/>
        <v>10181.818181818182</v>
      </c>
      <c r="K85" s="44">
        <f t="shared" si="37"/>
        <v>10181.818181818182</v>
      </c>
      <c r="L85" s="65" t="s">
        <v>70</v>
      </c>
      <c r="M85" s="44">
        <f>-G9*SUM(B59:K59)</f>
        <v>-72727.272727272735</v>
      </c>
      <c r="N85" s="44">
        <f>K85+M85</f>
        <v>-62545.454545454551</v>
      </c>
    </row>
    <row r="86" spans="1:256">
      <c r="A86" s="75" t="s">
        <v>71</v>
      </c>
      <c r="B86" s="44">
        <f t="shared" ref="B86:K86" si="38">$C$8*B60</f>
        <v>14437.499999999998</v>
      </c>
      <c r="C86" s="44">
        <f t="shared" si="38"/>
        <v>14398.999999999998</v>
      </c>
      <c r="D86" s="44">
        <f t="shared" si="38"/>
        <v>14360.499999999998</v>
      </c>
      <c r="E86" s="44">
        <f t="shared" si="38"/>
        <v>14322</v>
      </c>
      <c r="F86" s="44">
        <f t="shared" si="38"/>
        <v>14283.5</v>
      </c>
      <c r="G86" s="44">
        <f t="shared" si="38"/>
        <v>14245</v>
      </c>
      <c r="H86" s="44">
        <f t="shared" si="38"/>
        <v>14206.5</v>
      </c>
      <c r="I86" s="44">
        <f t="shared" si="38"/>
        <v>14168</v>
      </c>
      <c r="J86" s="44">
        <f t="shared" si="38"/>
        <v>14129.5</v>
      </c>
      <c r="K86" s="44">
        <f t="shared" si="38"/>
        <v>14091</v>
      </c>
      <c r="M86" s="44"/>
      <c r="N86" s="44">
        <f>K86+M86</f>
        <v>14091</v>
      </c>
    </row>
    <row r="87" spans="1:256">
      <c r="A87" s="75" t="s">
        <v>62</v>
      </c>
      <c r="B87" s="44">
        <f t="shared" ref="B87:K87" si="39">B83-B84+B85+B86</f>
        <v>20369.31818181818</v>
      </c>
      <c r="C87" s="44">
        <f t="shared" si="39"/>
        <v>20830.81818181818</v>
      </c>
      <c r="D87" s="44">
        <f t="shared" si="39"/>
        <v>-28703.781818181815</v>
      </c>
      <c r="E87" s="44">
        <f t="shared" si="39"/>
        <v>21765.557181818185</v>
      </c>
      <c r="F87" s="44">
        <f t="shared" si="39"/>
        <v>22238.874571818182</v>
      </c>
      <c r="G87" s="44">
        <f t="shared" si="39"/>
        <v>22716.210135718182</v>
      </c>
      <c r="H87" s="44">
        <f t="shared" si="39"/>
        <v>23197.604055257179</v>
      </c>
      <c r="I87" s="44">
        <f t="shared" si="39"/>
        <v>-26316.903086008424</v>
      </c>
      <c r="J87" s="44">
        <f t="shared" si="39"/>
        <v>24172.729701313307</v>
      </c>
      <c r="K87" s="44">
        <f t="shared" si="39"/>
        <v>24666.543816508252</v>
      </c>
      <c r="L87" s="75" t="s">
        <v>12</v>
      </c>
      <c r="M87" s="44">
        <f>M83-M84+M85+M86</f>
        <v>301201.53387225117</v>
      </c>
      <c r="N87" s="44">
        <f>K87+M87</f>
        <v>325868.07768875943</v>
      </c>
    </row>
    <row r="8162" spans="2:12">
      <c r="B8162" s="43"/>
      <c r="C8162" s="43"/>
      <c r="D8162" s="43"/>
      <c r="E8162" s="43"/>
      <c r="F8162" s="43"/>
      <c r="G8162" s="43"/>
      <c r="H8162" s="43"/>
      <c r="J8162" s="43"/>
      <c r="K8162" s="43"/>
      <c r="L8162" s="43"/>
    </row>
    <row r="8163" spans="2:12">
      <c r="B8163" s="43"/>
      <c r="C8163" s="43"/>
      <c r="D8163" s="43"/>
      <c r="E8163" s="43"/>
      <c r="F8163" s="43"/>
      <c r="G8163" s="43"/>
      <c r="H8163" s="43"/>
      <c r="J8163" s="43"/>
      <c r="K8163" s="43"/>
      <c r="L8163" s="43"/>
    </row>
    <row r="8164" spans="2:12">
      <c r="B8164" s="43"/>
      <c r="C8164" s="43"/>
      <c r="D8164" s="43"/>
      <c r="E8164" s="43"/>
      <c r="F8164" s="43"/>
      <c r="G8164" s="43"/>
      <c r="H8164" s="43"/>
      <c r="J8164" s="43"/>
      <c r="K8164" s="43"/>
      <c r="L8164" s="43"/>
    </row>
    <row r="8165" spans="2:12">
      <c r="B8165" s="43"/>
      <c r="C8165" s="43"/>
      <c r="D8165" s="43"/>
      <c r="E8165" s="43"/>
      <c r="F8165" s="43"/>
      <c r="G8165" s="43"/>
      <c r="H8165" s="43"/>
      <c r="J8165" s="43"/>
      <c r="K8165" s="43"/>
      <c r="L8165" s="43"/>
    </row>
    <row r="8166" spans="2:12">
      <c r="B8166" s="43"/>
      <c r="C8166" s="43"/>
      <c r="D8166" s="43"/>
      <c r="E8166" s="43"/>
      <c r="F8166" s="43"/>
      <c r="G8166" s="43"/>
      <c r="H8166" s="43"/>
      <c r="J8166" s="43"/>
      <c r="K8166" s="43"/>
      <c r="L8166" s="43"/>
    </row>
    <row r="8167" spans="2:12">
      <c r="B8167" s="43"/>
      <c r="C8167" s="43"/>
      <c r="D8167" s="43"/>
      <c r="E8167" s="43"/>
      <c r="F8167" s="43"/>
      <c r="G8167" s="43"/>
      <c r="H8167" s="43"/>
      <c r="J8167" s="43"/>
      <c r="K8167" s="43"/>
      <c r="L8167" s="43"/>
    </row>
    <row r="8168" spans="2:12">
      <c r="B8168" s="43"/>
      <c r="C8168" s="43"/>
      <c r="D8168" s="43"/>
      <c r="E8168" s="43"/>
      <c r="F8168" s="43"/>
      <c r="G8168" s="43"/>
      <c r="H8168" s="43"/>
      <c r="J8168" s="43"/>
      <c r="K8168" s="43"/>
      <c r="L8168" s="43"/>
    </row>
    <row r="8169" spans="2:12">
      <c r="B8169" s="43"/>
      <c r="C8169" s="43"/>
      <c r="D8169" s="43"/>
      <c r="E8169" s="43"/>
      <c r="F8169" s="43"/>
      <c r="G8169" s="43"/>
      <c r="H8169" s="43"/>
      <c r="J8169" s="43"/>
      <c r="K8169" s="43"/>
      <c r="L8169" s="43"/>
    </row>
    <row r="8170" spans="2:12">
      <c r="B8170" s="43"/>
      <c r="C8170" s="43"/>
      <c r="D8170" s="43"/>
      <c r="E8170" s="43"/>
      <c r="F8170" s="43"/>
      <c r="G8170" s="43"/>
      <c r="H8170" s="43"/>
      <c r="J8170" s="43"/>
      <c r="K8170" s="43"/>
      <c r="L8170" s="43"/>
    </row>
    <row r="8171" spans="2:12">
      <c r="B8171" s="43"/>
      <c r="C8171" s="43"/>
      <c r="D8171" s="43"/>
      <c r="E8171" s="43"/>
      <c r="F8171" s="43"/>
      <c r="G8171" s="43"/>
      <c r="H8171" s="43"/>
      <c r="J8171" s="43"/>
      <c r="K8171" s="43"/>
      <c r="L8171" s="43"/>
    </row>
    <row r="8172" spans="2:12">
      <c r="B8172" s="43"/>
      <c r="C8172" s="43"/>
      <c r="D8172" s="43"/>
      <c r="E8172" s="43"/>
      <c r="F8172" s="43"/>
      <c r="G8172" s="43"/>
      <c r="H8172" s="43"/>
      <c r="J8172" s="43"/>
      <c r="K8172" s="43"/>
      <c r="L8172" s="43"/>
    </row>
    <row r="8173" spans="2:12">
      <c r="B8173" s="43"/>
      <c r="C8173" s="43"/>
      <c r="D8173" s="43"/>
      <c r="E8173" s="43"/>
      <c r="F8173" s="43"/>
      <c r="G8173" s="43"/>
      <c r="H8173" s="43"/>
      <c r="J8173" s="43"/>
      <c r="K8173" s="43"/>
      <c r="L8173" s="43"/>
    </row>
    <row r="8174" spans="2:12">
      <c r="B8174" s="43"/>
      <c r="C8174" s="43"/>
      <c r="D8174" s="43"/>
      <c r="E8174" s="43"/>
      <c r="F8174" s="43"/>
      <c r="G8174" s="43"/>
      <c r="H8174" s="43"/>
      <c r="J8174" s="43"/>
      <c r="K8174" s="43"/>
      <c r="L8174" s="43"/>
    </row>
    <row r="8175" spans="2:12">
      <c r="B8175" s="43"/>
      <c r="C8175" s="43"/>
      <c r="D8175" s="43"/>
      <c r="E8175" s="43"/>
      <c r="F8175" s="43"/>
      <c r="G8175" s="43"/>
      <c r="H8175" s="43"/>
      <c r="J8175" s="43"/>
      <c r="K8175" s="43"/>
      <c r="L8175" s="43"/>
    </row>
    <row r="8176" spans="2:12">
      <c r="B8176" s="43"/>
      <c r="C8176" s="43"/>
      <c r="D8176" s="43"/>
      <c r="E8176" s="43"/>
      <c r="F8176" s="43"/>
      <c r="G8176" s="43"/>
      <c r="H8176" s="43"/>
      <c r="J8176" s="43"/>
      <c r="K8176" s="43"/>
      <c r="L8176" s="43"/>
    </row>
    <row r="8177" spans="2:12">
      <c r="B8177" s="43"/>
      <c r="C8177" s="43"/>
      <c r="D8177" s="43"/>
      <c r="E8177" s="43"/>
      <c r="F8177" s="43"/>
      <c r="G8177" s="43"/>
      <c r="H8177" s="43"/>
      <c r="J8177" s="43"/>
      <c r="K8177" s="43"/>
      <c r="L8177" s="43"/>
    </row>
    <row r="8178" spans="2:12">
      <c r="B8178" s="43"/>
      <c r="C8178" s="43"/>
      <c r="D8178" s="43"/>
      <c r="E8178" s="43"/>
      <c r="F8178" s="43"/>
      <c r="G8178" s="43"/>
      <c r="H8178" s="43"/>
      <c r="J8178" s="43"/>
      <c r="K8178" s="43"/>
      <c r="L8178" s="43"/>
    </row>
    <row r="8179" spans="2:12">
      <c r="B8179" s="43"/>
      <c r="C8179" s="43"/>
      <c r="D8179" s="43"/>
      <c r="E8179" s="43"/>
      <c r="F8179" s="43"/>
      <c r="G8179" s="43"/>
      <c r="H8179" s="43"/>
      <c r="J8179" s="43"/>
      <c r="K8179" s="43"/>
      <c r="L8179" s="43"/>
    </row>
    <row r="8180" spans="2:12">
      <c r="B8180" s="43"/>
      <c r="C8180" s="43"/>
      <c r="D8180" s="43"/>
      <c r="E8180" s="43"/>
      <c r="F8180" s="43"/>
      <c r="G8180" s="43"/>
      <c r="H8180" s="43"/>
      <c r="J8180" s="43"/>
      <c r="K8180" s="43"/>
      <c r="L8180" s="43"/>
    </row>
    <row r="8181" spans="2:12">
      <c r="B8181" s="43"/>
      <c r="C8181" s="43"/>
      <c r="D8181" s="43"/>
      <c r="E8181" s="43"/>
      <c r="F8181" s="43"/>
      <c r="G8181" s="43"/>
      <c r="H8181" s="43"/>
      <c r="J8181" s="43"/>
      <c r="K8181" s="43"/>
      <c r="L8181" s="43"/>
    </row>
    <row r="8182" spans="2:12">
      <c r="B8182" s="43"/>
      <c r="C8182" s="43"/>
      <c r="D8182" s="43"/>
      <c r="E8182" s="43"/>
      <c r="F8182" s="43"/>
      <c r="G8182" s="43"/>
      <c r="H8182" s="43"/>
      <c r="J8182" s="43"/>
      <c r="K8182" s="43"/>
      <c r="L8182" s="43"/>
    </row>
    <row r="8183" spans="2:12">
      <c r="B8183" s="43"/>
      <c r="C8183" s="43"/>
      <c r="D8183" s="43"/>
      <c r="E8183" s="43"/>
      <c r="F8183" s="43"/>
      <c r="G8183" s="43"/>
      <c r="H8183" s="43"/>
      <c r="J8183" s="43"/>
      <c r="K8183" s="43"/>
      <c r="L8183" s="43"/>
    </row>
    <row r="8184" spans="2:12">
      <c r="B8184" s="43"/>
      <c r="C8184" s="43"/>
      <c r="D8184" s="43"/>
      <c r="E8184" s="43"/>
      <c r="F8184" s="43"/>
      <c r="G8184" s="43"/>
      <c r="H8184" s="43"/>
      <c r="J8184" s="43"/>
      <c r="K8184" s="43"/>
      <c r="L8184" s="43"/>
    </row>
    <row r="8185" spans="2:12">
      <c r="B8185" s="43"/>
      <c r="C8185" s="43"/>
      <c r="D8185" s="43"/>
      <c r="E8185" s="43"/>
      <c r="F8185" s="43"/>
      <c r="G8185" s="43"/>
      <c r="H8185" s="43"/>
      <c r="J8185" s="43"/>
      <c r="K8185" s="43"/>
      <c r="L8185" s="43"/>
    </row>
    <row r="8186" spans="2:12">
      <c r="B8186" s="43"/>
      <c r="C8186" s="43"/>
      <c r="D8186" s="43"/>
      <c r="E8186" s="43"/>
      <c r="F8186" s="43"/>
      <c r="G8186" s="43"/>
      <c r="H8186" s="43"/>
      <c r="J8186" s="43"/>
      <c r="K8186" s="43"/>
      <c r="L8186" s="43"/>
    </row>
    <row r="8187" spans="2:12">
      <c r="B8187" s="43"/>
      <c r="C8187" s="43"/>
      <c r="D8187" s="43"/>
      <c r="E8187" s="43"/>
      <c r="F8187" s="43"/>
      <c r="G8187" s="43"/>
      <c r="H8187" s="43"/>
      <c r="J8187" s="43"/>
      <c r="K8187" s="43"/>
      <c r="L8187" s="43"/>
    </row>
    <row r="8188" spans="2:12">
      <c r="B8188" s="43"/>
      <c r="C8188" s="43"/>
      <c r="D8188" s="43"/>
      <c r="E8188" s="43"/>
      <c r="F8188" s="43"/>
      <c r="G8188" s="43"/>
      <c r="H8188" s="43"/>
      <c r="J8188" s="43"/>
      <c r="K8188" s="43"/>
      <c r="L8188" s="43"/>
    </row>
    <row r="8189" spans="2:12">
      <c r="B8189" s="43"/>
      <c r="C8189" s="43"/>
      <c r="D8189" s="43"/>
      <c r="E8189" s="43"/>
      <c r="F8189" s="43"/>
      <c r="G8189" s="43"/>
      <c r="H8189" s="43"/>
      <c r="J8189" s="43"/>
      <c r="K8189" s="43"/>
      <c r="L8189" s="43"/>
    </row>
    <row r="8190" spans="2:12">
      <c r="B8190" s="43"/>
      <c r="C8190" s="43"/>
      <c r="D8190" s="43"/>
      <c r="E8190" s="43"/>
      <c r="F8190" s="43"/>
      <c r="G8190" s="43"/>
      <c r="H8190" s="43"/>
      <c r="J8190" s="43"/>
      <c r="K8190" s="43"/>
      <c r="L8190" s="43"/>
    </row>
    <row r="8191" spans="2:12">
      <c r="B8191" s="43"/>
      <c r="C8191" s="43"/>
      <c r="D8191" s="43"/>
      <c r="E8191" s="43"/>
      <c r="F8191" s="43"/>
      <c r="G8191" s="43"/>
      <c r="H8191" s="43"/>
      <c r="J8191" s="43"/>
      <c r="K8191" s="43"/>
      <c r="L8191" s="43"/>
    </row>
    <row r="8192" spans="2:12">
      <c r="B8192" s="43"/>
      <c r="C8192" s="43"/>
      <c r="D8192" s="43"/>
      <c r="E8192" s="43"/>
      <c r="F8192" s="43"/>
      <c r="G8192" s="43"/>
      <c r="H8192" s="43"/>
      <c r="J8192" s="43"/>
      <c r="K8192" s="43"/>
      <c r="L8192" s="43"/>
    </row>
    <row r="8193" spans="2:12">
      <c r="B8193" s="43"/>
      <c r="C8193" s="43"/>
      <c r="D8193" s="43"/>
      <c r="E8193" s="43"/>
      <c r="F8193" s="43"/>
      <c r="G8193" s="43"/>
      <c r="H8193" s="43"/>
      <c r="J8193" s="43"/>
      <c r="K8193" s="43"/>
      <c r="L8193" s="43"/>
    </row>
  </sheetData>
  <phoneticPr fontId="10" type="noConversion"/>
  <pageMargins left="0.5" right="0.5" top="0.5" bottom="0.55000000000000004"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Splits Analysis Expected</vt:lpstr>
      <vt:lpstr>Optimistic CFs</vt:lpstr>
      <vt:lpstr>Optimistic Splits</vt:lpstr>
      <vt:lpstr>Pessimistic CFs</vt:lpstr>
      <vt:lpstr>Pessiimistic Splits</vt:lpstr>
      <vt:lpstr>Sens Ana &amp; Fairness</vt:lpstr>
      <vt:lpstr>MarglInvestrAPVvaluationEx14-6</vt:lpstr>
      <vt:lpstr>'MarglInvestrAPVvaluationEx14-6'!Print_Area</vt:lpstr>
      <vt:lpstr>'Optimistic CFs'!Print_Area</vt:lpstr>
      <vt:lpstr>'Pessimistic CFs'!Print_Area</vt:lpstr>
    </vt:vector>
  </TitlesOfParts>
  <Company>advisoRE,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Tod McGrath</dc:creator>
  <cp:lastModifiedBy>dgeltner</cp:lastModifiedBy>
  <cp:lastPrinted>2003-03-11T23:33:42Z</cp:lastPrinted>
  <dcterms:created xsi:type="dcterms:W3CDTF">2003-02-02T23:40:10Z</dcterms:created>
  <dcterms:modified xsi:type="dcterms:W3CDTF">2013-02-23T20:33:06Z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783677487</vt:i4>
  </property>
  <property fmtid="{D5CDD505-2E9C-101B-9397-08002B2CF9AE}" pid="3" name="_EmailSubject">
    <vt:lpwstr>One Lincoln</vt:lpwstr>
  </property>
  <property fmtid="{D5CDD505-2E9C-101B-9397-08002B2CF9AE}" pid="4" name="_AuthorEmail">
    <vt:lpwstr>wtod@advisore.com</vt:lpwstr>
  </property>
  <property fmtid="{D5CDD505-2E9C-101B-9397-08002B2CF9AE}" pid="5" name="_AuthorEmailDisplayName">
    <vt:lpwstr>W. Tod McGrath</vt:lpwstr>
  </property>
  <property fmtid="{D5CDD505-2E9C-101B-9397-08002B2CF9AE}" pid="6" name="_ReviewingToolsShownOnce">
    <vt:lpwstr/>
  </property>
</Properties>
</file>