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375" windowHeight="4965" activeTab="0"/>
  </bookViews>
  <sheets>
    <sheet name="Intro" sheetId="1" r:id="rId1"/>
    <sheet name="1.PropertyValue" sheetId="2" r:id="rId2"/>
    <sheet name="2.Buy_vs_Lease" sheetId="3" r:id="rId3"/>
    <sheet name="3.SaleLeasbak" sheetId="4" r:id="rId4"/>
    <sheet name="4.Buy&amp;Borrow_vs_Lease" sheetId="5" r:id="rId5"/>
  </sheets>
  <definedNames/>
  <calcPr fullCalcOnLoad="1"/>
</workbook>
</file>

<file path=xl/sharedStrings.xml><?xml version="1.0" encoding="utf-8"?>
<sst xmlns="http://schemas.openxmlformats.org/spreadsheetml/2006/main" count="202" uniqueCount="146">
  <si>
    <t>Initial Space Mkt. Net Rent</t>
  </si>
  <si>
    <t>(*Note: Arm's length market rent level.)</t>
  </si>
  <si>
    <t>Rent Gro Rate</t>
  </si>
  <si>
    <t>(*Note: Normally this should equal the corporate borrowing rate for the tenant corporation.)</t>
  </si>
  <si>
    <t>Resale Cap Rate (Applied to Yr.11 NOI)</t>
  </si>
  <si>
    <t>Year</t>
  </si>
  <si>
    <t>Reversion</t>
  </si>
  <si>
    <t>Mkt.Value of Property</t>
  </si>
  <si>
    <t>2. Corporate Buy/Lease Analysis:</t>
  </si>
  <si>
    <t>Ignore building operating costs as they are the same whether lease or own.</t>
  </si>
  <si>
    <t>Corporate Tax Inputs:</t>
  </si>
  <si>
    <t>Assume 39-yr straight line depreciation of building.</t>
  </si>
  <si>
    <t>Marginal Corp.Income Tax Rate</t>
  </si>
  <si>
    <t>Property Depreciable%</t>
  </si>
  <si>
    <t>Buy vs Lease Analysis:</t>
  </si>
  <si>
    <t>Consolidated Analysis: NPV Buy/Own over Lease:</t>
  </si>
  <si>
    <t>Benefit of Depreciation Tax Shields</t>
  </si>
  <si>
    <t>Benefit of rental payment savings</t>
  </si>
  <si>
    <t>Cost of lost rent expense tax shield</t>
  </si>
  <si>
    <t>Total net benefit after-tax debtlike CFs</t>
  </si>
  <si>
    <t>Benefit of after-tax reversion proceeds</t>
  </si>
  <si>
    <t>NPV (to Corp.) of Buy/Own over Lease:</t>
  </si>
  <si>
    <t>----------------------------------------------------------------------------------------------------------------------------------------------------------------</t>
  </si>
  <si>
    <t>Cost of buying building</t>
  </si>
  <si>
    <t>Deprec.Exp.(not CF)</t>
  </si>
  <si>
    <t>Deprecn.Tax Shield(CF Tax Svgs, Neg.Cost)</t>
  </si>
  <si>
    <t>Building Resale Value before-tax</t>
  </si>
  <si>
    <t>CGT</t>
  </si>
  <si>
    <t>Resale CF after-tax</t>
  </si>
  <si>
    <t>Total After-tax Cost of Ownership (Neg.Cost=Benefit)</t>
  </si>
  <si>
    <t>Before-Tax Rent</t>
  </si>
  <si>
    <t>Less Rent Tax Shield</t>
  </si>
  <si>
    <t>After-Tax Lease Cost</t>
  </si>
  <si>
    <t>3. Corporate Sale/LeaseBack of Pre-owned Building:</t>
  </si>
  <si>
    <t>Corp.Income Tax Rate</t>
  </si>
  <si>
    <t>Consolidated Analysis (NPV of Sale/Leaseback):</t>
  </si>
  <si>
    <t>Building Sale CF before-tax</t>
  </si>
  <si>
    <t>Building Sale CF after-tax</t>
  </si>
  <si>
    <t>NPV to Corp. of Sale/Leaseback</t>
  </si>
  <si>
    <t>Opportunity cost of building before-tax</t>
  </si>
  <si>
    <t>(*Note: Neg. benefit because foregone sale proceeds from not selling pre-owned bldg.)</t>
  </si>
  <si>
    <t>Opportunity cost of building after-tax</t>
  </si>
  <si>
    <t>Assume Single-Tenant 10-Yr Net Adjustable Lease, Marginal investor in property mkt faces single layer of taxes.</t>
  </si>
  <si>
    <t>Property Asset Market Inputs (Capital Mkt, before-tax empirically-observable rates):</t>
  </si>
  <si>
    <t>Marginal Income Tax Rate on Ordinary Income of Marginal Investor in Property Market</t>
  </si>
  <si>
    <t>Space Market Inputs (Empirically observable):</t>
  </si>
  <si>
    <r>
      <t xml:space="preserve">Analysis of Property Value </t>
    </r>
    <r>
      <rPr>
        <b/>
        <i/>
        <sz val="10"/>
        <rFont val="Arial"/>
        <family val="2"/>
      </rPr>
      <t>(unlevered)</t>
    </r>
    <r>
      <rPr>
        <b/>
        <sz val="10"/>
        <rFont val="Arial"/>
        <family val="2"/>
      </rPr>
      <t>:</t>
    </r>
  </si>
  <si>
    <t>BT Total Net CF</t>
  </si>
  <si>
    <t>AT operating CFs (debtlike)</t>
  </si>
  <si>
    <t>AT reversion CFs (risky)</t>
  </si>
  <si>
    <t>Current Cap Rate in Property Mkt</t>
  </si>
  <si>
    <t>BTCF to Investor in Building</t>
  </si>
  <si>
    <t>ATCF to Investor in Building</t>
  </si>
  <si>
    <t>Effective Tax Rate (on unlvd prop equity)</t>
  </si>
  <si>
    <t>AT Disc.Rate Reversion</t>
  </si>
  <si>
    <t>(*Note: Higher than building ATIRR because reversion value more risky than lease CFs.)</t>
  </si>
  <si>
    <t>AT(corp) BT(pers) net benefit debtlike CFs</t>
  </si>
  <si>
    <t>AT(pers) net benefit debtlike CFs</t>
  </si>
  <si>
    <t>Property Purchase Cost</t>
  </si>
  <si>
    <t>BTIRR (blended on unlevd prop equity)</t>
  </si>
  <si>
    <t>ATIRR (blended on unlevd prop equity)</t>
  </si>
  <si>
    <t>AT(pers) level</t>
  </si>
  <si>
    <t>Leasing CFs</t>
  </si>
  <si>
    <t>Owning CFs</t>
  </si>
  <si>
    <t xml:space="preserve">Corporate Ownership CFs </t>
  </si>
  <si>
    <t>Corporate Leasing CFs</t>
  </si>
  <si>
    <t>Observe Property Sales Prices, Rents, Cap rates, Rent Growth Rates, Tenant borrowing rates, and Income tax rates of typical marginal property investor . . .</t>
  </si>
  <si>
    <r>
      <t xml:space="preserve">1. Property Value </t>
    </r>
    <r>
      <rPr>
        <b/>
        <i/>
        <sz val="10"/>
        <rFont val="Arial"/>
        <family val="2"/>
      </rPr>
      <t>(from observations in property market)</t>
    </r>
    <r>
      <rPr>
        <b/>
        <sz val="10"/>
        <rFont val="Arial"/>
        <family val="0"/>
      </rPr>
      <t>:</t>
    </r>
  </si>
  <si>
    <t>Individual (personal) Tax Inputs:</t>
  </si>
  <si>
    <t>Same as (2) only assume Corp can borrow up to normal loan LTV of bldg value, with positive net interest tax shields due to Corp's double-taxation of earnings causing Corp investors to face higher effective tax rate than marginal investors in mortgage debt.</t>
  </si>
  <si>
    <t>NPV (to Corp.) of Borrowing Transaction:</t>
  </si>
  <si>
    <t>Loan BT CFs</t>
  </si>
  <si>
    <t>LTV</t>
  </si>
  <si>
    <t>Int Rate</t>
  </si>
  <si>
    <t>Loan parameters:</t>
  </si>
  <si>
    <t>Loan CFs AT(corp) BT(pers)</t>
  </si>
  <si>
    <t>Loan amount</t>
  </si>
  <si>
    <t xml:space="preserve">Marginal Effective Tax Rate on Equity </t>
  </si>
  <si>
    <t>Loan CFs AT(pers)</t>
  </si>
  <si>
    <t>Loan NPV to corp investors</t>
  </si>
  <si>
    <t>BT OCC Debtlike CFs(Existing leases, Loan pmts)</t>
  </si>
  <si>
    <t>AT OCC Debtlike CFs(Existing leases, Loan pmts)</t>
  </si>
  <si>
    <t>NPV (to Corp.) of Buy/Own All Equity:</t>
  </si>
  <si>
    <t>NPV (to Corp) of Buy&amp;Borrow over Lease</t>
  </si>
  <si>
    <t>All-Equity Analysis: NPV Buy/Own over Lease:</t>
  </si>
  <si>
    <t>Consolidated analysis:</t>
  </si>
  <si>
    <t>Property Purchase Net Cost</t>
  </si>
  <si>
    <t>Cost of debt svc pmts</t>
  </si>
  <si>
    <t>Benefit of interest tax shields</t>
  </si>
  <si>
    <t>Benefit of after-tax net reversion proceeds (less OLB) *Includes double-taxation, personal tax on stockholders' realization of corporate capital gain.</t>
  </si>
  <si>
    <t>Benefit of after-tax reversion proceeds. *Includes double-taxation, personal tax on stockholders' realization of corporate capital gain.</t>
  </si>
  <si>
    <t>NPV</t>
  </si>
  <si>
    <t>These worksheets demonstrate how to evaluate the lease-vs-own decision for corporate real estate for a profitable "C Corporation" (subject to corporate income taxes).</t>
  </si>
  <si>
    <t>The key principles involved in this analysis include: (i) Cash flows as the basis of market values, the "economic" (as opposed to "accounting") perspective of stock market valuation (e.g., the ability of investors to see through "accounting illusions" such as "off-balance sheet financing"); (ii) Importance of income tax considerations; (iii) Need to consider all levels of taxation (personal as well as corporate, as described in Brealey &amp; Myers 5th Ed., Chs.18&amp;19); (iv) Need to consider risk differences and corresponding differences in appropriate discount rates for different types of future cash flows; (v) Importance of considering equilibrium within and across the relevant asset markets (real estate, debt or bonds, and corporate equity), with implications for market values and the appropriate risk-adjusted discount rates noted in (iv).</t>
  </si>
  <si>
    <t>The result is an evaluation methodology that is coherent and consistent across the real estate asset market, the bond or debt market, and the stock market for the corporation's equity shares, an evaluation methodology that is based on the arbitrage pricing theory that presumes capital markets are sufficiently efficient to price away arbitrage opportunities.</t>
  </si>
  <si>
    <t>It is assumed that the marginal investors in the property market and in the bond(debt) market (i.e., the investors who determine asset market equilibrium prices) are individual investors subject to one (and only one) layer of taxation, at the personal income level.</t>
  </si>
  <si>
    <t>Assume stock mkt-based AT OCC of real estate CFs same as property mkt's (no "REIT discount or premium to NAV").</t>
  </si>
  <si>
    <t>&lt;== Reflects double-taxation of corporate earnings.</t>
  </si>
  <si>
    <t>AT(pers) lease cost</t>
  </si>
  <si>
    <t>Net cost (after pers taxes)</t>
  </si>
  <si>
    <t>Net cost own-lease:</t>
  </si>
  <si>
    <t>positive cost is negative benefit.</t>
  </si>
  <si>
    <t>(*Note: Don't input: This is calculated reflecting one layer of ordinary income taxation, typical of marginal investors in debt market.)</t>
  </si>
  <si>
    <t>(Note: Includes recapture.)</t>
  </si>
  <si>
    <t>(Note: Includes recapture @ ordinary tax rate.)</t>
  </si>
  <si>
    <t>4. Corporate Buy&amp;Borrow vs Lease Analysis:</t>
  </si>
  <si>
    <t>This workbook is meant strictly for educational use. No liability is assumed for the content or usage of this educational tool.</t>
  </si>
  <si>
    <t>The analysis in this spreadsheet is meant to be consistent with and illustrative of the methodology described in Appendix 15 on the CD accompanying the Geltner-Miller 2nd Edition text Chapter 15.</t>
  </si>
  <si>
    <t>The key methodology used here that allows these principles to be incorporated is the "APV" (Adjusted Present Value) methodology, or "Value Additivity" (Equity value = Gross asset value - Debt value), as described in Geltner-Miller Chapter 14 section 14.3.</t>
  </si>
  <si>
    <t>The four worksheets in this workbook build from the implications of equilibrium in the property market (obtained in Worksheet 1, the first in the next tab) to evaluate three alternatives (in the three subsequent worksheets to the right): all-equity purchase of the property versus leasing it (in "2.Buy_vs_Lease"); sale &amp; leaseback of the property if the corporation already owns the real estate (in "3.SaleLeasbk"); and levered purchase of the property versus leasing it (in "4.Buy&amp;Borrow_vs_Lease").</t>
  </si>
  <si>
    <t>There are assumed to be three different income tax rates: (i) the rate that applies at the personal level to ordinary income and debtlike investment income such as bonds or property rents (including to depreciation "recapture"); (ii) the rate that applies to equity investment returns such as property reversion or stock market investments - effectively lower than the ordinary income tax rate due to the ability to defer capital gains realization; and (iii) the corporate income tax rate.</t>
  </si>
  <si>
    <t>Specific parameter values characterizing the system can be supplied by the user of the spreadsheet analysis, as indicated in the worksheets.</t>
  </si>
  <si>
    <t>Net Lease CF</t>
  </si>
  <si>
    <t>Marginal Income Tax Rate on Investment Income of Marginal Investor in Debt Market</t>
  </si>
  <si>
    <t>Depreciation Recapture Tax Rate</t>
  </si>
  <si>
    <t>(*Note: This rate applies to property equity reversion (CGT), as well as to all returns to equity received by stockholders in the corporation.)</t>
  </si>
  <si>
    <t>Property Depreciable Cost Basis Percent</t>
  </si>
  <si>
    <t>Value of Debt, Marginal Property Investor:</t>
  </si>
  <si>
    <t>Loan Amount</t>
  </si>
  <si>
    <t>Debt Service</t>
  </si>
  <si>
    <t>After-tax Debt Service</t>
  </si>
  <si>
    <t>OLB</t>
  </si>
  <si>
    <t>After-tax Debt Cash Flows</t>
  </si>
  <si>
    <t>NPV(own)</t>
  </si>
  <si>
    <t>Lease Cost After-Tax (corp) Before-Tax (pers)</t>
  </si>
  <si>
    <t>Lease Cost After-Tax (both levels)</t>
  </si>
  <si>
    <t>NPV(lease)</t>
  </si>
  <si>
    <t>NPV(lease)-NPV(own) = NPV(sale/leaseback)</t>
  </si>
  <si>
    <t>NPV(ownership CFs) before pers tax</t>
  </si>
  <si>
    <t>NPV(lease CFs) before pers tax</t>
  </si>
  <si>
    <t>DTS after pers tax</t>
  </si>
  <si>
    <t>Resale CF after pers tax</t>
  </si>
  <si>
    <t>NPV(ownership CFs) after pers tax</t>
  </si>
  <si>
    <t>Lease Cost After Pers Tax</t>
  </si>
  <si>
    <t>NPV(ownership CFs) - NPV(lease CFs) = NPV(buy over lease) Before Pers Tax</t>
  </si>
  <si>
    <t>NPV(ownership CFs) - NPV(lease CFs) = NPV(buy over lease) After Pers Tax</t>
  </si>
  <si>
    <t>NPV(lease CFs) after pers tax</t>
  </si>
  <si>
    <t>&lt;== Note this is after pers tax even tho seems to be only after corp tax, because stock price already reflects this oppty cost, hence no taxable event (no change in stock price, hence no "return" generated) at the personal (stockholder) level.</t>
  </si>
  <si>
    <t>&lt;== This includes double-taxation of economic gain (see note==&gt;)…</t>
  </si>
  <si>
    <t>&lt;== This reflects double-taxation of economic gain because L44 already includes the corporate-level CGT.</t>
  </si>
  <si>
    <t>&lt;== Includes depreciation recapture tax.</t>
  </si>
  <si>
    <t>&lt;== This reflects double-taxation of any economic gain AFTER Year 0, because L40 already includes the corporate-level CGT, but the comparison here is with Year 0 opportunity value of property.</t>
  </si>
  <si>
    <t>&lt;== Corporate-level CGT is based on corporate "book value" of the property.</t>
  </si>
  <si>
    <t>Bldg Cost Basis (Corp remaining "book value" as % of curr mkt val)</t>
  </si>
  <si>
    <t>&lt;== Note that additional personal-level tax on gain only applies to any gain over the Year 0 opportunity value of the property, not to the book cost basis like the corporate-level CGT.</t>
  </si>
  <si>
    <t>This workbook is meant to accompany "Commercial Real Estate Analysis &amp; Investments", 3rd Edition, by D.Geltner &amp; N.Miller, Copyright © 2021 Mbition LLC. All rights reserved.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</si>
</sst>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quot;$&quot;#,##0.00"/>
    <numFmt numFmtId="167" formatCode="&quot;$&quot;#,##0"/>
    <numFmt numFmtId="168" formatCode="General_)"/>
  </numFmts>
  <fonts count="39">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2">
    <xf numFmtId="0" fontId="0" fillId="0" borderId="0" xfId="0" applyAlignment="1">
      <alignment/>
    </xf>
    <xf numFmtId="2" fontId="0" fillId="0" borderId="0" xfId="0" applyNumberFormat="1" applyAlignment="1">
      <alignment/>
    </xf>
    <xf numFmtId="1" fontId="0" fillId="0" borderId="0" xfId="0" applyNumberFormat="1" applyAlignment="1">
      <alignment/>
    </xf>
    <xf numFmtId="2" fontId="0" fillId="0" borderId="0" xfId="0" applyNumberFormat="1" applyAlignment="1" quotePrefix="1">
      <alignment horizontal="left"/>
    </xf>
    <xf numFmtId="2" fontId="0" fillId="0" borderId="0" xfId="0" applyNumberFormat="1" applyAlignment="1">
      <alignment horizontal="left"/>
    </xf>
    <xf numFmtId="2" fontId="1" fillId="0" borderId="0" xfId="0" applyNumberFormat="1" applyFont="1" applyAlignment="1" quotePrefix="1">
      <alignment horizontal="left"/>
    </xf>
    <xf numFmtId="10" fontId="0" fillId="0" borderId="0" xfId="0" applyNumberFormat="1" applyAlignment="1">
      <alignment/>
    </xf>
    <xf numFmtId="7" fontId="0" fillId="0" borderId="0" xfId="0" applyNumberFormat="1" applyAlignment="1">
      <alignment/>
    </xf>
    <xf numFmtId="0" fontId="3" fillId="0" borderId="0" xfId="0" applyFont="1" applyAlignment="1">
      <alignment/>
    </xf>
    <xf numFmtId="2" fontId="3" fillId="0" borderId="0" xfId="0" applyNumberFormat="1" applyFont="1" applyAlignment="1">
      <alignment horizontal="left"/>
    </xf>
    <xf numFmtId="2" fontId="3" fillId="0" borderId="0" xfId="0" applyNumberFormat="1" applyFont="1" applyAlignment="1">
      <alignment/>
    </xf>
    <xf numFmtId="2" fontId="1" fillId="0" borderId="0" xfId="0" applyNumberFormat="1" applyFont="1" applyAlignment="1">
      <alignment horizontal="left"/>
    </xf>
    <xf numFmtId="2" fontId="0" fillId="0" borderId="0" xfId="0" applyNumberFormat="1" applyFont="1" applyAlignment="1">
      <alignment horizontal="left"/>
    </xf>
    <xf numFmtId="166" fontId="0" fillId="0" borderId="0" xfId="0" applyNumberFormat="1" applyAlignment="1">
      <alignment/>
    </xf>
    <xf numFmtId="2" fontId="0" fillId="0" borderId="0" xfId="0" applyNumberFormat="1" applyFont="1" applyAlignment="1" quotePrefix="1">
      <alignment horizontal="left"/>
    </xf>
    <xf numFmtId="0" fontId="0" fillId="0" borderId="0" xfId="0" applyAlignment="1">
      <alignment horizontal="left"/>
    </xf>
    <xf numFmtId="3" fontId="0" fillId="0" borderId="0" xfId="0" applyNumberFormat="1" applyAlignment="1">
      <alignment/>
    </xf>
    <xf numFmtId="167" fontId="0" fillId="0" borderId="0" xfId="0" applyNumberFormat="1" applyAlignment="1">
      <alignment/>
    </xf>
    <xf numFmtId="167" fontId="1" fillId="0" borderId="0" xfId="0" applyNumberFormat="1" applyFont="1" applyAlignment="1">
      <alignment/>
    </xf>
    <xf numFmtId="166" fontId="0" fillId="0" borderId="0" xfId="0" applyNumberFormat="1" applyAlignment="1">
      <alignment horizontal="left"/>
    </xf>
    <xf numFmtId="166" fontId="0" fillId="0" borderId="0" xfId="0" applyNumberFormat="1" applyAlignment="1" quotePrefix="1">
      <alignment horizontal="left"/>
    </xf>
    <xf numFmtId="2" fontId="1" fillId="0" borderId="0" xfId="0" applyNumberFormat="1" applyFont="1" applyAlignment="1">
      <alignment horizontal="left"/>
    </xf>
    <xf numFmtId="9" fontId="0" fillId="0" borderId="0" xfId="0" applyNumberFormat="1" applyAlignment="1">
      <alignment/>
    </xf>
    <xf numFmtId="167" fontId="0" fillId="0" borderId="0" xfId="0" applyNumberFormat="1" applyFont="1" applyAlignment="1">
      <alignment/>
    </xf>
    <xf numFmtId="167" fontId="1" fillId="0" borderId="0" xfId="0" applyNumberFormat="1" applyFont="1" applyAlignment="1">
      <alignment/>
    </xf>
    <xf numFmtId="2" fontId="0" fillId="0" borderId="0" xfId="0" applyNumberFormat="1" applyFont="1" applyAlignment="1">
      <alignment/>
    </xf>
    <xf numFmtId="1" fontId="0" fillId="0" borderId="0" xfId="0" applyNumberFormat="1" applyFont="1" applyAlignment="1">
      <alignment/>
    </xf>
    <xf numFmtId="0" fontId="0" fillId="0" borderId="0" xfId="0" applyFont="1" applyAlignment="1">
      <alignment/>
    </xf>
    <xf numFmtId="167" fontId="0" fillId="0" borderId="0" xfId="0" applyNumberFormat="1" applyAlignment="1">
      <alignment horizontal="right"/>
    </xf>
    <xf numFmtId="2" fontId="0" fillId="0" borderId="0" xfId="0" applyNumberFormat="1" applyAlignment="1">
      <alignment horizontal="right"/>
    </xf>
    <xf numFmtId="2" fontId="1" fillId="0" borderId="10" xfId="0" applyNumberFormat="1" applyFont="1" applyBorder="1" applyAlignment="1">
      <alignment horizontal="left"/>
    </xf>
    <xf numFmtId="167" fontId="1" fillId="0" borderId="10" xfId="0" applyNumberFormat="1" applyFont="1" applyBorder="1" applyAlignment="1">
      <alignment/>
    </xf>
    <xf numFmtId="166" fontId="0" fillId="0" borderId="0" xfId="0" applyNumberFormat="1" applyFont="1" applyAlignment="1">
      <alignment horizontal="left"/>
    </xf>
    <xf numFmtId="166" fontId="0" fillId="0" borderId="0" xfId="0" applyNumberFormat="1" applyFont="1" applyAlignment="1">
      <alignment/>
    </xf>
    <xf numFmtId="166" fontId="1" fillId="0" borderId="0" xfId="0" applyNumberFormat="1" applyFont="1" applyAlignment="1">
      <alignment/>
    </xf>
    <xf numFmtId="2" fontId="0" fillId="0" borderId="0" xfId="0" applyNumberFormat="1" applyFont="1" applyAlignment="1" quotePrefix="1">
      <alignment/>
    </xf>
    <xf numFmtId="0" fontId="1" fillId="0" borderId="0" xfId="0" applyFont="1" applyAlignment="1">
      <alignment horizontal="left"/>
    </xf>
    <xf numFmtId="1" fontId="0" fillId="0" borderId="0" xfId="0" applyNumberFormat="1" applyAlignment="1" quotePrefix="1">
      <alignment/>
    </xf>
    <xf numFmtId="2" fontId="0" fillId="0" borderId="10" xfId="0" applyNumberFormat="1" applyBorder="1" applyAlignment="1">
      <alignment horizontal="left"/>
    </xf>
    <xf numFmtId="167" fontId="0" fillId="0" borderId="10" xfId="0" applyNumberFormat="1" applyBorder="1" applyAlignment="1">
      <alignment/>
    </xf>
    <xf numFmtId="2" fontId="0" fillId="0" borderId="0" xfId="0" applyNumberFormat="1" applyFont="1" applyAlignment="1" quotePrefix="1">
      <alignment horizontal="center"/>
    </xf>
    <xf numFmtId="10" fontId="0" fillId="0" borderId="0" xfId="0" applyNumberFormat="1" applyFont="1" applyAlignment="1">
      <alignment/>
    </xf>
    <xf numFmtId="2" fontId="0" fillId="33" borderId="11" xfId="0" applyNumberFormat="1" applyFill="1" applyBorder="1" applyAlignment="1">
      <alignment/>
    </xf>
    <xf numFmtId="10" fontId="0" fillId="33" borderId="12" xfId="0" applyNumberFormat="1" applyFill="1" applyBorder="1" applyAlignment="1">
      <alignment/>
    </xf>
    <xf numFmtId="10" fontId="0" fillId="0" borderId="0" xfId="0" applyNumberFormat="1" applyFill="1" applyBorder="1" applyAlignment="1">
      <alignment/>
    </xf>
    <xf numFmtId="10" fontId="1" fillId="0" borderId="0" xfId="0" applyNumberFormat="1" applyFont="1" applyAlignment="1">
      <alignment horizontal="left"/>
    </xf>
    <xf numFmtId="2" fontId="1" fillId="0" borderId="0" xfId="0" applyNumberFormat="1" applyFont="1" applyAlignment="1">
      <alignment/>
    </xf>
    <xf numFmtId="0" fontId="0" fillId="0" borderId="10" xfId="0" applyBorder="1" applyAlignment="1">
      <alignment horizontal="left"/>
    </xf>
    <xf numFmtId="166" fontId="0" fillId="0" borderId="10" xfId="0" applyNumberFormat="1" applyBorder="1" applyAlignment="1">
      <alignment/>
    </xf>
    <xf numFmtId="166" fontId="0" fillId="0" borderId="0" xfId="0" applyNumberFormat="1" applyAlignment="1" quotePrefix="1">
      <alignment/>
    </xf>
    <xf numFmtId="2" fontId="0" fillId="0" borderId="0" xfId="0" applyNumberFormat="1" applyAlignment="1" quotePrefix="1">
      <alignment/>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2"/>
  <sheetViews>
    <sheetView tabSelected="1" zoomScalePageLayoutView="0" workbookViewId="0" topLeftCell="A1">
      <selection activeCell="K15" sqref="K15"/>
    </sheetView>
  </sheetViews>
  <sheetFormatPr defaultColWidth="9.140625" defaultRowHeight="12.75"/>
  <sheetData>
    <row r="1" ht="12.75">
      <c r="A1" s="51" t="s">
        <v>145</v>
      </c>
    </row>
    <row r="2" ht="12.75">
      <c r="A2" t="s">
        <v>106</v>
      </c>
    </row>
    <row r="4" ht="12.75">
      <c r="A4" t="s">
        <v>92</v>
      </c>
    </row>
    <row r="5" ht="12.75">
      <c r="A5" t="s">
        <v>107</v>
      </c>
    </row>
    <row r="6" ht="12.75">
      <c r="A6" t="s">
        <v>93</v>
      </c>
    </row>
    <row r="7" ht="12.75">
      <c r="A7" t="s">
        <v>108</v>
      </c>
    </row>
    <row r="8" ht="12.75">
      <c r="A8" t="s">
        <v>94</v>
      </c>
    </row>
    <row r="9" ht="12.75">
      <c r="A9" t="s">
        <v>109</v>
      </c>
    </row>
    <row r="10" ht="12.75">
      <c r="A10" t="s">
        <v>110</v>
      </c>
    </row>
    <row r="11" ht="12.75">
      <c r="A11" t="s">
        <v>95</v>
      </c>
    </row>
    <row r="12" ht="12.75">
      <c r="A12" t="s">
        <v>111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W67"/>
  <sheetViews>
    <sheetView zoomScalePageLayoutView="0" workbookViewId="0" topLeftCell="A1">
      <selection activeCell="A1" sqref="A1"/>
    </sheetView>
  </sheetViews>
  <sheetFormatPr defaultColWidth="9.140625" defaultRowHeight="12.75"/>
  <cols>
    <col min="1" max="1" width="72.28125" style="1" customWidth="1"/>
    <col min="2" max="2" width="9.57421875" style="17" customWidth="1"/>
    <col min="3" max="11" width="9.140625" style="1" customWidth="1"/>
    <col min="12" max="12" width="10.140625" style="1" customWidth="1"/>
    <col min="13" max="16384" width="9.140625" style="1" customWidth="1"/>
  </cols>
  <sheetData>
    <row r="1" spans="1:23" ht="12.75">
      <c r="A1" s="5" t="s">
        <v>67</v>
      </c>
      <c r="V1"/>
      <c r="W1"/>
    </row>
    <row r="2" spans="1:23" ht="12.75">
      <c r="A2" s="3" t="s">
        <v>42</v>
      </c>
      <c r="V2"/>
      <c r="W2"/>
    </row>
    <row r="3" spans="1:23" ht="12.75">
      <c r="A3" s="4" t="s">
        <v>66</v>
      </c>
      <c r="V3"/>
      <c r="W3"/>
    </row>
    <row r="4" spans="1:23" ht="12.75">
      <c r="A4" s="3" t="s">
        <v>11</v>
      </c>
      <c r="V4"/>
      <c r="W4"/>
    </row>
    <row r="5" spans="1:23" ht="12.75">
      <c r="A5" s="10" t="s">
        <v>68</v>
      </c>
      <c r="B5" s="6"/>
      <c r="V5"/>
      <c r="W5"/>
    </row>
    <row r="6" spans="1:23" ht="12.75">
      <c r="A6" s="3" t="s">
        <v>44</v>
      </c>
      <c r="B6" s="6">
        <v>0.35</v>
      </c>
      <c r="V6"/>
      <c r="W6"/>
    </row>
    <row r="7" spans="1:23" ht="12.75">
      <c r="A7" s="4" t="s">
        <v>113</v>
      </c>
      <c r="B7" s="6">
        <v>0.25</v>
      </c>
      <c r="V7"/>
      <c r="W7"/>
    </row>
    <row r="8" spans="1:23" ht="12.75">
      <c r="A8" s="4" t="s">
        <v>114</v>
      </c>
      <c r="B8" s="6">
        <f>0.25</f>
        <v>0.25</v>
      </c>
      <c r="V8"/>
      <c r="W8"/>
    </row>
    <row r="9" spans="1:23" ht="12.75">
      <c r="A9" s="4" t="s">
        <v>77</v>
      </c>
      <c r="B9" s="6">
        <v>0.15</v>
      </c>
      <c r="C9" s="1" t="s">
        <v>115</v>
      </c>
      <c r="V9"/>
      <c r="W9"/>
    </row>
    <row r="10" spans="1:23" ht="12.75">
      <c r="A10" s="3" t="s">
        <v>116</v>
      </c>
      <c r="B10" s="6">
        <v>0.75</v>
      </c>
      <c r="C10" s="3"/>
      <c r="V10"/>
      <c r="W10"/>
    </row>
    <row r="11" spans="1:23" ht="12.75">
      <c r="A11" s="8" t="s">
        <v>45</v>
      </c>
      <c r="B11" s="1"/>
      <c r="V11"/>
      <c r="W11"/>
    </row>
    <row r="12" spans="1:23" ht="12.75">
      <c r="A12" s="3" t="s">
        <v>0</v>
      </c>
      <c r="B12" s="7">
        <v>90</v>
      </c>
      <c r="C12" s="1" t="s">
        <v>1</v>
      </c>
      <c r="V12"/>
      <c r="W12"/>
    </row>
    <row r="13" spans="1:23" ht="12.75">
      <c r="A13" s="3" t="s">
        <v>2</v>
      </c>
      <c r="B13" s="6">
        <f>0</f>
        <v>0</v>
      </c>
      <c r="V13"/>
      <c r="W13"/>
    </row>
    <row r="14" spans="1:23" ht="12.75">
      <c r="A14" s="9" t="s">
        <v>43</v>
      </c>
      <c r="B14" s="6"/>
      <c r="V14"/>
      <c r="W14"/>
    </row>
    <row r="15" spans="1:23" ht="12.75">
      <c r="A15" s="1" t="s">
        <v>80</v>
      </c>
      <c r="B15" s="6">
        <v>0.06</v>
      </c>
      <c r="C15" s="3" t="s">
        <v>3</v>
      </c>
      <c r="V15"/>
      <c r="W15"/>
    </row>
    <row r="16" spans="1:23" ht="12.75">
      <c r="A16" s="42" t="s">
        <v>81</v>
      </c>
      <c r="B16" s="43">
        <f>(1-B7)*B15</f>
        <v>0.045</v>
      </c>
      <c r="C16" s="1" t="s">
        <v>102</v>
      </c>
      <c r="V16"/>
      <c r="W16"/>
    </row>
    <row r="17" spans="1:23" ht="12.75">
      <c r="A17" s="4" t="s">
        <v>50</v>
      </c>
      <c r="B17" s="6">
        <v>0.075</v>
      </c>
      <c r="C17" s="3"/>
      <c r="V17"/>
      <c r="W17"/>
    </row>
    <row r="18" spans="1:23" ht="12.75">
      <c r="A18" s="3" t="s">
        <v>4</v>
      </c>
      <c r="B18" s="6">
        <v>0.075</v>
      </c>
      <c r="C18" s="3"/>
      <c r="N18" s="2"/>
      <c r="O18" s="2"/>
      <c r="P18" s="2"/>
      <c r="Q18" s="2"/>
      <c r="R18" s="2"/>
      <c r="S18" s="2"/>
      <c r="T18" s="2"/>
      <c r="U18" s="2"/>
      <c r="V18"/>
      <c r="W18"/>
    </row>
    <row r="19" spans="1:23" ht="12.75">
      <c r="A19" s="21" t="s">
        <v>46</v>
      </c>
      <c r="B19" s="6"/>
      <c r="D19" s="2"/>
      <c r="E19" s="2"/>
      <c r="F19" s="2"/>
      <c r="G19" s="2"/>
      <c r="H19" s="2"/>
      <c r="I19" s="2"/>
      <c r="J19" s="2"/>
      <c r="K19" s="2"/>
      <c r="L19" s="2"/>
      <c r="M19" s="2"/>
      <c r="N19" s="2"/>
      <c r="O19" s="2"/>
      <c r="P19" s="2"/>
      <c r="Q19" s="2"/>
      <c r="R19" s="2"/>
      <c r="S19" s="2"/>
      <c r="T19" s="2"/>
      <c r="U19" s="2"/>
      <c r="V19"/>
      <c r="W19"/>
    </row>
    <row r="20" spans="1:23" ht="12.75">
      <c r="A20" s="1" t="s">
        <v>5</v>
      </c>
      <c r="B20" s="16">
        <v>0</v>
      </c>
      <c r="C20" s="2">
        <v>1</v>
      </c>
      <c r="D20" s="2">
        <v>2</v>
      </c>
      <c r="E20" s="2">
        <v>3</v>
      </c>
      <c r="F20" s="2">
        <v>4</v>
      </c>
      <c r="G20" s="2">
        <v>5</v>
      </c>
      <c r="H20" s="2">
        <v>6</v>
      </c>
      <c r="I20" s="2">
        <v>7</v>
      </c>
      <c r="J20" s="2">
        <v>8</v>
      </c>
      <c r="K20" s="2">
        <v>9</v>
      </c>
      <c r="L20" s="2">
        <v>10</v>
      </c>
      <c r="M20" s="2">
        <v>11</v>
      </c>
      <c r="N20" s="2"/>
      <c r="O20" s="2"/>
      <c r="P20" s="2"/>
      <c r="Q20" s="2"/>
      <c r="R20" s="2"/>
      <c r="S20" s="2"/>
      <c r="T20" s="2"/>
      <c r="U20" s="2"/>
      <c r="V20"/>
      <c r="W20"/>
    </row>
    <row r="21" spans="1:23" ht="12.75">
      <c r="A21" s="1" t="s">
        <v>112</v>
      </c>
      <c r="B21" s="2"/>
      <c r="C21" s="13">
        <f>B12</f>
        <v>90</v>
      </c>
      <c r="D21" s="13">
        <f>(1+'1.PropertyValue'!$B13)*C21</f>
        <v>90</v>
      </c>
      <c r="E21" s="13">
        <f>(1+'1.PropertyValue'!$B13)*D21</f>
        <v>90</v>
      </c>
      <c r="F21" s="13">
        <f>(1+'1.PropertyValue'!$B13)*E21</f>
        <v>90</v>
      </c>
      <c r="G21" s="13">
        <f>(1+'1.PropertyValue'!$B13)*F21</f>
        <v>90</v>
      </c>
      <c r="H21" s="13">
        <f>(1+'1.PropertyValue'!$B13)*G21</f>
        <v>90</v>
      </c>
      <c r="I21" s="13">
        <f>(1+'1.PropertyValue'!$B13)*H21</f>
        <v>90</v>
      </c>
      <c r="J21" s="13">
        <f>(1+'1.PropertyValue'!$B13)*I21</f>
        <v>90</v>
      </c>
      <c r="K21" s="13">
        <f>(1+'1.PropertyValue'!$B13)*J21</f>
        <v>90</v>
      </c>
      <c r="L21" s="13">
        <f>(1+'1.PropertyValue'!$B13)*K21</f>
        <v>90</v>
      </c>
      <c r="M21" s="13">
        <f>(1+'1.PropertyValue'!$B13)*L21</f>
        <v>90</v>
      </c>
      <c r="N21" s="2"/>
      <c r="O21" s="2"/>
      <c r="P21" s="2"/>
      <c r="Q21" s="2"/>
      <c r="R21" s="2"/>
      <c r="S21" s="2"/>
      <c r="T21" s="2"/>
      <c r="U21" s="2"/>
      <c r="V21"/>
      <c r="W21"/>
    </row>
    <row r="22" spans="1:23" ht="12.75">
      <c r="A22" s="3" t="s">
        <v>24</v>
      </c>
      <c r="C22" s="13">
        <f>(B12/B17)*B10/39</f>
        <v>23.076923076923077</v>
      </c>
      <c r="D22" s="13">
        <f aca="true" t="shared" si="0" ref="D22:K22">C22</f>
        <v>23.076923076923077</v>
      </c>
      <c r="E22" s="13">
        <f t="shared" si="0"/>
        <v>23.076923076923077</v>
      </c>
      <c r="F22" s="13">
        <f t="shared" si="0"/>
        <v>23.076923076923077</v>
      </c>
      <c r="G22" s="13">
        <f t="shared" si="0"/>
        <v>23.076923076923077</v>
      </c>
      <c r="H22" s="13">
        <f t="shared" si="0"/>
        <v>23.076923076923077</v>
      </c>
      <c r="I22" s="13">
        <f t="shared" si="0"/>
        <v>23.076923076923077</v>
      </c>
      <c r="J22" s="13">
        <f t="shared" si="0"/>
        <v>23.076923076923077</v>
      </c>
      <c r="K22" s="13">
        <f t="shared" si="0"/>
        <v>23.076923076923077</v>
      </c>
      <c r="L22" s="13">
        <f>K22-10*K22</f>
        <v>-207.6923076923077</v>
      </c>
      <c r="M22" s="13" t="s">
        <v>103</v>
      </c>
      <c r="N22" s="2"/>
      <c r="O22" s="2"/>
      <c r="P22" s="2"/>
      <c r="Q22" s="2"/>
      <c r="R22" s="2"/>
      <c r="S22" s="2"/>
      <c r="T22" s="2"/>
      <c r="U22" s="2"/>
      <c r="V22"/>
      <c r="W22"/>
    </row>
    <row r="23" spans="1:23" ht="12.75">
      <c r="A23" s="3" t="s">
        <v>25</v>
      </c>
      <c r="C23" s="13">
        <f>C22*$B6</f>
        <v>8.076923076923077</v>
      </c>
      <c r="D23" s="13">
        <f aca="true" t="shared" si="1" ref="D23:K23">D22*$B6</f>
        <v>8.076923076923077</v>
      </c>
      <c r="E23" s="13">
        <f t="shared" si="1"/>
        <v>8.076923076923077</v>
      </c>
      <c r="F23" s="13">
        <f t="shared" si="1"/>
        <v>8.076923076923077</v>
      </c>
      <c r="G23" s="13">
        <f t="shared" si="1"/>
        <v>8.076923076923077</v>
      </c>
      <c r="H23" s="13">
        <f t="shared" si="1"/>
        <v>8.076923076923077</v>
      </c>
      <c r="I23" s="13">
        <f t="shared" si="1"/>
        <v>8.076923076923077</v>
      </c>
      <c r="J23" s="13">
        <f t="shared" si="1"/>
        <v>8.076923076923077</v>
      </c>
      <c r="K23" s="13">
        <f t="shared" si="1"/>
        <v>8.076923076923077</v>
      </c>
      <c r="L23" s="13">
        <f>J22*$B6-10*J22*B8</f>
        <v>-49.61538461538461</v>
      </c>
      <c r="M23" s="13" t="s">
        <v>104</v>
      </c>
      <c r="N23" s="2"/>
      <c r="O23" s="2"/>
      <c r="P23" s="2"/>
      <c r="Q23" s="2"/>
      <c r="R23" s="2"/>
      <c r="S23" s="2"/>
      <c r="T23" s="2"/>
      <c r="U23" s="2"/>
      <c r="V23"/>
      <c r="W23"/>
    </row>
    <row r="24" spans="1:23" ht="12.75">
      <c r="A24" s="1" t="s">
        <v>6</v>
      </c>
      <c r="B24" s="2"/>
      <c r="C24" s="13"/>
      <c r="D24" s="13"/>
      <c r="E24" s="13"/>
      <c r="F24" s="13"/>
      <c r="G24" s="13"/>
      <c r="H24" s="13"/>
      <c r="I24" s="13"/>
      <c r="J24" s="13"/>
      <c r="K24" s="13"/>
      <c r="L24" s="13">
        <f>M21/'1.PropertyValue'!B18</f>
        <v>1200</v>
      </c>
      <c r="M24" s="13"/>
      <c r="N24" s="2"/>
      <c r="O24" s="2"/>
      <c r="P24" s="2"/>
      <c r="Q24" s="2"/>
      <c r="R24" s="2"/>
      <c r="S24" s="2"/>
      <c r="T24" s="2"/>
      <c r="U24" s="2"/>
      <c r="V24"/>
      <c r="W24"/>
    </row>
    <row r="25" spans="1:23" ht="12.75">
      <c r="A25" s="1" t="s">
        <v>47</v>
      </c>
      <c r="B25" s="2"/>
      <c r="C25" s="13">
        <f aca="true" t="shared" si="2" ref="C25:L25">C21+C24</f>
        <v>90</v>
      </c>
      <c r="D25" s="13">
        <f t="shared" si="2"/>
        <v>90</v>
      </c>
      <c r="E25" s="13">
        <f t="shared" si="2"/>
        <v>90</v>
      </c>
      <c r="F25" s="13">
        <f t="shared" si="2"/>
        <v>90</v>
      </c>
      <c r="G25" s="13">
        <f t="shared" si="2"/>
        <v>90</v>
      </c>
      <c r="H25" s="13">
        <f t="shared" si="2"/>
        <v>90</v>
      </c>
      <c r="I25" s="13">
        <f t="shared" si="2"/>
        <v>90</v>
      </c>
      <c r="J25" s="13">
        <f t="shared" si="2"/>
        <v>90</v>
      </c>
      <c r="K25" s="13">
        <f t="shared" si="2"/>
        <v>90</v>
      </c>
      <c r="L25" s="13">
        <f t="shared" si="2"/>
        <v>1290</v>
      </c>
      <c r="M25" s="13"/>
      <c r="N25" s="2"/>
      <c r="O25" s="2"/>
      <c r="P25" s="2"/>
      <c r="Q25" s="2"/>
      <c r="R25" s="2"/>
      <c r="S25" s="2"/>
      <c r="T25" s="2"/>
      <c r="U25" s="2"/>
      <c r="V25"/>
      <c r="W25"/>
    </row>
    <row r="26" spans="1:23" ht="12.75">
      <c r="A26" s="1" t="s">
        <v>48</v>
      </c>
      <c r="B26" s="2">
        <f>NPV(B16,C26:L26)</f>
        <v>489.65475544356303</v>
      </c>
      <c r="C26" s="13">
        <f aca="true" t="shared" si="3" ref="C26:L26">(1-$B6)*C21+C23</f>
        <v>66.57692307692308</v>
      </c>
      <c r="D26" s="13">
        <f t="shared" si="3"/>
        <v>66.57692307692308</v>
      </c>
      <c r="E26" s="13">
        <f t="shared" si="3"/>
        <v>66.57692307692308</v>
      </c>
      <c r="F26" s="13">
        <f t="shared" si="3"/>
        <v>66.57692307692308</v>
      </c>
      <c r="G26" s="13">
        <f t="shared" si="3"/>
        <v>66.57692307692308</v>
      </c>
      <c r="H26" s="13">
        <f t="shared" si="3"/>
        <v>66.57692307692308</v>
      </c>
      <c r="I26" s="13">
        <f t="shared" si="3"/>
        <v>66.57692307692308</v>
      </c>
      <c r="J26" s="13">
        <f t="shared" si="3"/>
        <v>66.57692307692308</v>
      </c>
      <c r="K26" s="13">
        <f t="shared" si="3"/>
        <v>66.57692307692308</v>
      </c>
      <c r="L26" s="13">
        <f t="shared" si="3"/>
        <v>8.884615384615387</v>
      </c>
      <c r="M26" s="13"/>
      <c r="N26" s="2"/>
      <c r="O26" s="2"/>
      <c r="P26" s="2"/>
      <c r="Q26" s="2"/>
      <c r="R26" s="2"/>
      <c r="S26" s="2"/>
      <c r="T26" s="2"/>
      <c r="U26" s="2"/>
      <c r="V26"/>
      <c r="W26"/>
    </row>
    <row r="27" spans="1:23" ht="12.75">
      <c r="A27" s="1" t="s">
        <v>49</v>
      </c>
      <c r="B27" s="2">
        <f>B28-B26</f>
        <v>667.6165664000425</v>
      </c>
      <c r="C27" s="44"/>
      <c r="D27" s="44"/>
      <c r="E27" s="13"/>
      <c r="F27" s="13"/>
      <c r="G27" s="13"/>
      <c r="H27" s="13"/>
      <c r="I27" s="13"/>
      <c r="J27" s="13"/>
      <c r="K27" s="13"/>
      <c r="L27" s="13">
        <f>L24-B9*MAX(0,(L24-B12/B17))</f>
        <v>1200</v>
      </c>
      <c r="N27" s="2"/>
      <c r="O27" s="2"/>
      <c r="P27" s="2"/>
      <c r="Q27" s="2"/>
      <c r="R27" s="2"/>
      <c r="S27" s="2"/>
      <c r="T27" s="2"/>
      <c r="U27" s="2"/>
      <c r="V27"/>
      <c r="W27"/>
    </row>
    <row r="28" spans="1:23" ht="12.75">
      <c r="A28" s="3" t="s">
        <v>7</v>
      </c>
      <c r="B28" s="17">
        <f>C21/B17-B42</f>
        <v>1157.2713218436056</v>
      </c>
      <c r="C28" s="13"/>
      <c r="D28" s="13"/>
      <c r="E28" s="13"/>
      <c r="F28" s="13"/>
      <c r="G28" s="13"/>
      <c r="H28" s="13"/>
      <c r="I28" s="13"/>
      <c r="J28" s="13"/>
      <c r="K28" s="13"/>
      <c r="L28" s="13"/>
      <c r="M28" s="13"/>
      <c r="N28" s="2"/>
      <c r="O28" s="2"/>
      <c r="P28" s="2"/>
      <c r="Q28" s="2"/>
      <c r="R28" s="2"/>
      <c r="S28" s="2"/>
      <c r="T28" s="2"/>
      <c r="U28" s="2"/>
      <c r="V28"/>
      <c r="W28"/>
    </row>
    <row r="29" spans="1:23" ht="12.75">
      <c r="A29" s="3" t="s">
        <v>51</v>
      </c>
      <c r="B29" s="17">
        <f>-B28</f>
        <v>-1157.2713218436056</v>
      </c>
      <c r="C29" s="13">
        <f aca="true" t="shared" si="4" ref="C29:K29">+C21</f>
        <v>90</v>
      </c>
      <c r="D29" s="13">
        <f t="shared" si="4"/>
        <v>90</v>
      </c>
      <c r="E29" s="13">
        <f t="shared" si="4"/>
        <v>90</v>
      </c>
      <c r="F29" s="13">
        <f t="shared" si="4"/>
        <v>90</v>
      </c>
      <c r="G29" s="13">
        <f t="shared" si="4"/>
        <v>90</v>
      </c>
      <c r="H29" s="13">
        <f t="shared" si="4"/>
        <v>90</v>
      </c>
      <c r="I29" s="13">
        <f t="shared" si="4"/>
        <v>90</v>
      </c>
      <c r="J29" s="13">
        <f t="shared" si="4"/>
        <v>90</v>
      </c>
      <c r="K29" s="13">
        <f t="shared" si="4"/>
        <v>90</v>
      </c>
      <c r="L29" s="13">
        <f>+L21+M21/'1.PropertyValue'!B18</f>
        <v>1290</v>
      </c>
      <c r="M29" s="13"/>
      <c r="N29" s="2"/>
      <c r="O29" s="2"/>
      <c r="P29" s="2"/>
      <c r="Q29" s="2"/>
      <c r="R29" s="2"/>
      <c r="S29" s="2"/>
      <c r="T29" s="2"/>
      <c r="U29" s="2"/>
      <c r="V29"/>
      <c r="W29"/>
    </row>
    <row r="30" spans="1:23" ht="12.75">
      <c r="A30" s="3" t="s">
        <v>59</v>
      </c>
      <c r="B30" s="6">
        <f>IRR(B29:L29)</f>
        <v>0.0803140466780008</v>
      </c>
      <c r="M30"/>
      <c r="N30" s="2"/>
      <c r="O30" s="2"/>
      <c r="P30" s="2"/>
      <c r="Q30" s="2"/>
      <c r="R30" s="2"/>
      <c r="S30" s="2"/>
      <c r="T30" s="2"/>
      <c r="U30" s="2"/>
      <c r="V30"/>
      <c r="W30"/>
    </row>
    <row r="31" spans="1:23" ht="12.75">
      <c r="A31" s="4" t="s">
        <v>52</v>
      </c>
      <c r="B31" s="17">
        <f>-B28</f>
        <v>-1157.2713218436056</v>
      </c>
      <c r="C31" s="13">
        <f>C26</f>
        <v>66.57692307692308</v>
      </c>
      <c r="D31" s="13">
        <f aca="true" t="shared" si="5" ref="D31:K31">D26</f>
        <v>66.57692307692308</v>
      </c>
      <c r="E31" s="13">
        <f t="shared" si="5"/>
        <v>66.57692307692308</v>
      </c>
      <c r="F31" s="13">
        <f t="shared" si="5"/>
        <v>66.57692307692308</v>
      </c>
      <c r="G31" s="13">
        <f t="shared" si="5"/>
        <v>66.57692307692308</v>
      </c>
      <c r="H31" s="13">
        <f t="shared" si="5"/>
        <v>66.57692307692308</v>
      </c>
      <c r="I31" s="13">
        <f t="shared" si="5"/>
        <v>66.57692307692308</v>
      </c>
      <c r="J31" s="13">
        <f t="shared" si="5"/>
        <v>66.57692307692308</v>
      </c>
      <c r="K31" s="13">
        <f t="shared" si="5"/>
        <v>66.57692307692308</v>
      </c>
      <c r="L31" s="13">
        <f>L26+L27</f>
        <v>1208.8846153846155</v>
      </c>
      <c r="M31"/>
      <c r="N31" s="2"/>
      <c r="O31" s="2"/>
      <c r="P31" s="2"/>
      <c r="Q31" s="2"/>
      <c r="R31" s="2"/>
      <c r="S31" s="2"/>
      <c r="T31" s="2"/>
      <c r="U31" s="2"/>
      <c r="V31"/>
      <c r="W31"/>
    </row>
    <row r="32" spans="1:23" ht="12.75">
      <c r="A32" s="3" t="s">
        <v>60</v>
      </c>
      <c r="B32" s="6">
        <f>IRR(B31:L31)</f>
        <v>0.05653215572811754</v>
      </c>
      <c r="C32" s="2"/>
      <c r="D32" s="2"/>
      <c r="E32" s="2"/>
      <c r="F32" s="2"/>
      <c r="G32" s="2"/>
      <c r="H32" s="2"/>
      <c r="I32" s="2"/>
      <c r="J32" s="2"/>
      <c r="K32" s="2"/>
      <c r="L32" s="2"/>
      <c r="M32" s="2"/>
      <c r="N32" s="2"/>
      <c r="O32" s="2"/>
      <c r="P32" s="2"/>
      <c r="Q32" s="2"/>
      <c r="R32" s="2"/>
      <c r="S32" s="2"/>
      <c r="T32" s="2"/>
      <c r="U32" s="2"/>
      <c r="V32"/>
      <c r="W32"/>
    </row>
    <row r="33" spans="1:23" ht="12.75">
      <c r="A33" s="1" t="s">
        <v>53</v>
      </c>
      <c r="B33" s="22">
        <f>1-(B32/B30)</f>
        <v>0.2961112275319763</v>
      </c>
      <c r="C33" s="2"/>
      <c r="D33" s="2"/>
      <c r="E33" s="2"/>
      <c r="F33" s="2"/>
      <c r="G33" s="2"/>
      <c r="H33" s="2"/>
      <c r="I33" s="2"/>
      <c r="J33" s="2"/>
      <c r="K33" s="2"/>
      <c r="L33" s="2"/>
      <c r="M33" s="2"/>
      <c r="N33" s="2"/>
      <c r="O33" s="2"/>
      <c r="P33" s="2"/>
      <c r="Q33" s="2"/>
      <c r="R33" s="2"/>
      <c r="S33" s="2"/>
      <c r="T33" s="2"/>
      <c r="U33" s="2"/>
      <c r="V33"/>
      <c r="W33"/>
    </row>
    <row r="34" spans="1:23" ht="12.75">
      <c r="A34" s="3" t="s">
        <v>54</v>
      </c>
      <c r="B34" s="6">
        <f>RATE(L20,0,-B27,L27)</f>
        <v>0.060389488848728475</v>
      </c>
      <c r="C34" s="1" t="s">
        <v>55</v>
      </c>
      <c r="D34" s="13"/>
      <c r="E34" s="13"/>
      <c r="F34" s="13"/>
      <c r="G34" s="13"/>
      <c r="H34" s="13"/>
      <c r="I34" s="13"/>
      <c r="J34" s="13"/>
      <c r="K34" s="13"/>
      <c r="L34" s="13"/>
      <c r="M34" s="2"/>
      <c r="N34" s="2"/>
      <c r="O34" s="2"/>
      <c r="P34" s="2"/>
      <c r="Q34" s="2"/>
      <c r="R34" s="2"/>
      <c r="S34" s="2"/>
      <c r="T34" s="2"/>
      <c r="U34" s="2"/>
      <c r="V34"/>
      <c r="W34"/>
    </row>
    <row r="35" spans="1:23" ht="12.75">
      <c r="A35" s="4"/>
      <c r="C35" s="13"/>
      <c r="D35" s="13"/>
      <c r="E35" s="13"/>
      <c r="F35" s="13"/>
      <c r="G35" s="13"/>
      <c r="H35" s="13"/>
      <c r="I35" s="13"/>
      <c r="J35" s="13"/>
      <c r="K35" s="13"/>
      <c r="L35" s="13"/>
      <c r="M35" s="2"/>
      <c r="N35" s="2"/>
      <c r="O35" s="2"/>
      <c r="P35" s="2"/>
      <c r="Q35" s="2"/>
      <c r="R35" s="2"/>
      <c r="S35" s="2"/>
      <c r="T35" s="2"/>
      <c r="U35" s="2"/>
      <c r="V35"/>
      <c r="W35"/>
    </row>
    <row r="36" spans="1:23" ht="12.75">
      <c r="A36" s="46" t="s">
        <v>117</v>
      </c>
      <c r="C36" s="13"/>
      <c r="D36" s="13"/>
      <c r="E36" s="13"/>
      <c r="F36" s="13"/>
      <c r="G36" s="13"/>
      <c r="H36" s="13"/>
      <c r="I36" s="13"/>
      <c r="J36" s="13"/>
      <c r="K36" s="13"/>
      <c r="L36" s="13"/>
      <c r="M36" s="2"/>
      <c r="N36" s="2"/>
      <c r="O36" s="2"/>
      <c r="P36" s="2"/>
      <c r="Q36" s="2"/>
      <c r="R36" s="2"/>
      <c r="S36" s="2"/>
      <c r="T36" s="2"/>
      <c r="U36" s="2"/>
      <c r="V36"/>
      <c r="W36"/>
    </row>
    <row r="37" spans="1:23" ht="12.75">
      <c r="A37" s="1" t="s">
        <v>118</v>
      </c>
      <c r="B37" s="17">
        <f>0.75*B12/B17</f>
        <v>900</v>
      </c>
      <c r="C37" s="13"/>
      <c r="D37" s="13"/>
      <c r="E37" s="13"/>
      <c r="F37" s="13"/>
      <c r="G37" s="13"/>
      <c r="H37" s="13"/>
      <c r="I37" s="13"/>
      <c r="J37" s="13"/>
      <c r="K37" s="13"/>
      <c r="L37" s="13"/>
      <c r="M37" s="2"/>
      <c r="N37" s="2"/>
      <c r="O37" s="2"/>
      <c r="P37" s="2"/>
      <c r="Q37" s="2"/>
      <c r="R37" s="2"/>
      <c r="S37" s="2"/>
      <c r="T37" s="2"/>
      <c r="U37" s="2"/>
      <c r="V37"/>
      <c r="W37"/>
    </row>
    <row r="38" spans="1:23" ht="12.75">
      <c r="A38" s="1" t="s">
        <v>119</v>
      </c>
      <c r="C38" s="13">
        <f>-$B15*$B37</f>
        <v>-54</v>
      </c>
      <c r="D38" s="13">
        <f aca="true" t="shared" si="6" ref="D38:L38">-$B15*$B37</f>
        <v>-54</v>
      </c>
      <c r="E38" s="13">
        <f t="shared" si="6"/>
        <v>-54</v>
      </c>
      <c r="F38" s="13">
        <f t="shared" si="6"/>
        <v>-54</v>
      </c>
      <c r="G38" s="13">
        <f t="shared" si="6"/>
        <v>-54</v>
      </c>
      <c r="H38" s="13">
        <f t="shared" si="6"/>
        <v>-54</v>
      </c>
      <c r="I38" s="13">
        <f t="shared" si="6"/>
        <v>-54</v>
      </c>
      <c r="J38" s="13">
        <f t="shared" si="6"/>
        <v>-54</v>
      </c>
      <c r="K38" s="13">
        <f t="shared" si="6"/>
        <v>-54</v>
      </c>
      <c r="L38" s="13">
        <f t="shared" si="6"/>
        <v>-54</v>
      </c>
      <c r="M38" s="2"/>
      <c r="N38" s="2"/>
      <c r="O38" s="2"/>
      <c r="P38" s="2"/>
      <c r="Q38" s="2"/>
      <c r="R38" s="2"/>
      <c r="S38" s="2"/>
      <c r="T38" s="2"/>
      <c r="U38" s="2"/>
      <c r="V38"/>
      <c r="W38"/>
    </row>
    <row r="39" spans="1:23" ht="12.75">
      <c r="A39" s="1" t="s">
        <v>120</v>
      </c>
      <c r="C39" s="13">
        <f>(1-$B6)*C38</f>
        <v>-35.1</v>
      </c>
      <c r="D39" s="13">
        <f aca="true" t="shared" si="7" ref="D39:L39">(1-$B6)*D38</f>
        <v>-35.1</v>
      </c>
      <c r="E39" s="13">
        <f t="shared" si="7"/>
        <v>-35.1</v>
      </c>
      <c r="F39" s="13">
        <f t="shared" si="7"/>
        <v>-35.1</v>
      </c>
      <c r="G39" s="13">
        <f t="shared" si="7"/>
        <v>-35.1</v>
      </c>
      <c r="H39" s="13">
        <f t="shared" si="7"/>
        <v>-35.1</v>
      </c>
      <c r="I39" s="13">
        <f t="shared" si="7"/>
        <v>-35.1</v>
      </c>
      <c r="J39" s="13">
        <f t="shared" si="7"/>
        <v>-35.1</v>
      </c>
      <c r="K39" s="13">
        <f t="shared" si="7"/>
        <v>-35.1</v>
      </c>
      <c r="L39" s="13">
        <f t="shared" si="7"/>
        <v>-35.1</v>
      </c>
      <c r="M39" s="2"/>
      <c r="N39" s="2"/>
      <c r="O39" s="2"/>
      <c r="P39" s="2"/>
      <c r="Q39" s="2"/>
      <c r="R39" s="2"/>
      <c r="S39" s="2"/>
      <c r="T39" s="2"/>
      <c r="U39" s="2"/>
      <c r="V39"/>
      <c r="W39"/>
    </row>
    <row r="40" spans="1:23" ht="12.75">
      <c r="A40" s="47" t="s">
        <v>121</v>
      </c>
      <c r="B40" s="39"/>
      <c r="C40" s="48"/>
      <c r="D40" s="48"/>
      <c r="E40" s="48"/>
      <c r="F40" s="48"/>
      <c r="G40" s="48"/>
      <c r="H40" s="48"/>
      <c r="I40" s="48"/>
      <c r="J40" s="48"/>
      <c r="K40" s="48"/>
      <c r="L40" s="48">
        <f>-B37</f>
        <v>-900</v>
      </c>
      <c r="M40" s="2"/>
      <c r="N40" s="2"/>
      <c r="O40" s="2"/>
      <c r="P40" s="2"/>
      <c r="Q40" s="2"/>
      <c r="R40" s="2"/>
      <c r="S40" s="2"/>
      <c r="T40" s="2"/>
      <c r="U40" s="2"/>
      <c r="V40"/>
      <c r="W40"/>
    </row>
    <row r="41" spans="1:23" ht="12.75">
      <c r="A41" s="12" t="s">
        <v>122</v>
      </c>
      <c r="B41" s="23">
        <f>B37</f>
        <v>900</v>
      </c>
      <c r="C41" s="1">
        <f>C39</f>
        <v>-35.1</v>
      </c>
      <c r="D41" s="1">
        <f aca="true" t="shared" si="8" ref="D41:K41">D39</f>
        <v>-35.1</v>
      </c>
      <c r="E41" s="1">
        <f t="shared" si="8"/>
        <v>-35.1</v>
      </c>
      <c r="F41" s="1">
        <f t="shared" si="8"/>
        <v>-35.1</v>
      </c>
      <c r="G41" s="1">
        <f t="shared" si="8"/>
        <v>-35.1</v>
      </c>
      <c r="H41" s="1">
        <f t="shared" si="8"/>
        <v>-35.1</v>
      </c>
      <c r="I41" s="1">
        <f t="shared" si="8"/>
        <v>-35.1</v>
      </c>
      <c r="J41" s="1">
        <f t="shared" si="8"/>
        <v>-35.1</v>
      </c>
      <c r="K41" s="1">
        <f t="shared" si="8"/>
        <v>-35.1</v>
      </c>
      <c r="L41" s="1">
        <f>L39+L40</f>
        <v>-935.1</v>
      </c>
      <c r="M41" s="2"/>
      <c r="N41" s="2"/>
      <c r="O41" s="2"/>
      <c r="P41" s="2"/>
      <c r="Q41" s="2"/>
      <c r="R41" s="2"/>
      <c r="S41" s="2"/>
      <c r="T41" s="2"/>
      <c r="U41" s="2"/>
      <c r="V41"/>
      <c r="W41"/>
    </row>
    <row r="42" spans="1:23" ht="12.75">
      <c r="A42" s="4" t="s">
        <v>91</v>
      </c>
      <c r="B42" s="17">
        <f>B37+NPV((1-B7)*B15,C41:L41)</f>
        <v>42.72867815639438</v>
      </c>
      <c r="C42" s="16"/>
      <c r="D42" s="2"/>
      <c r="E42" s="2"/>
      <c r="F42" s="2"/>
      <c r="G42" s="2"/>
      <c r="H42" s="2"/>
      <c r="I42" s="2"/>
      <c r="J42" s="2"/>
      <c r="K42" s="2"/>
      <c r="L42" s="2"/>
      <c r="M42" s="2"/>
      <c r="N42" s="2"/>
      <c r="O42" s="2"/>
      <c r="P42" s="2"/>
      <c r="Q42" s="2"/>
      <c r="R42" s="2"/>
      <c r="S42" s="2"/>
      <c r="T42" s="2"/>
      <c r="U42" s="2"/>
      <c r="V42"/>
      <c r="W42"/>
    </row>
    <row r="43" spans="1:23" ht="12.75">
      <c r="A43" s="5"/>
      <c r="N43" s="2"/>
      <c r="O43" s="2"/>
      <c r="P43" s="2"/>
      <c r="Q43" s="2"/>
      <c r="R43" s="2"/>
      <c r="S43" s="2"/>
      <c r="T43" s="2"/>
      <c r="U43" s="2"/>
      <c r="V43"/>
      <c r="W43"/>
    </row>
    <row r="44" spans="22:23" ht="12.75">
      <c r="V44"/>
      <c r="W44"/>
    </row>
    <row r="45" spans="2:23" ht="12.75">
      <c r="B45" s="1"/>
      <c r="V45"/>
      <c r="W45"/>
    </row>
    <row r="46" spans="2:23" ht="12.75">
      <c r="B46" s="1"/>
      <c r="V46"/>
      <c r="W46"/>
    </row>
    <row r="47" spans="1:23" ht="12.75">
      <c r="A47" s="3"/>
      <c r="C47" s="13"/>
      <c r="D47" s="13"/>
      <c r="E47" s="13"/>
      <c r="F47" s="13"/>
      <c r="G47" s="13"/>
      <c r="H47" s="13"/>
      <c r="I47" s="13"/>
      <c r="J47" s="13"/>
      <c r="K47" s="13"/>
      <c r="L47" s="13"/>
      <c r="V47"/>
      <c r="W47"/>
    </row>
    <row r="48" spans="3:23" ht="12.75">
      <c r="C48" s="13"/>
      <c r="D48" s="13"/>
      <c r="E48" s="13"/>
      <c r="F48" s="13"/>
      <c r="G48" s="13"/>
      <c r="H48" s="13"/>
      <c r="I48" s="13"/>
      <c r="J48" s="13"/>
      <c r="K48" s="13"/>
      <c r="L48" s="13"/>
      <c r="V48"/>
      <c r="W48"/>
    </row>
    <row r="49" spans="3:23" ht="12.75">
      <c r="C49" s="13"/>
      <c r="D49" s="13"/>
      <c r="E49" s="13"/>
      <c r="F49" s="13"/>
      <c r="G49" s="13"/>
      <c r="H49" s="13"/>
      <c r="I49" s="13"/>
      <c r="J49" s="13"/>
      <c r="K49" s="13"/>
      <c r="L49" s="13"/>
      <c r="V49"/>
      <c r="W49"/>
    </row>
    <row r="50" spans="1:23" ht="12.75">
      <c r="A50" s="3"/>
      <c r="C50" s="13"/>
      <c r="D50" s="13"/>
      <c r="E50" s="13"/>
      <c r="F50" s="13"/>
      <c r="G50" s="13"/>
      <c r="H50" s="13"/>
      <c r="I50" s="13"/>
      <c r="J50" s="13"/>
      <c r="K50" s="13"/>
      <c r="L50" s="13"/>
      <c r="V50"/>
      <c r="W50"/>
    </row>
    <row r="51" spans="1:23" ht="12.75">
      <c r="A51" s="4"/>
      <c r="C51" s="13"/>
      <c r="D51" s="13"/>
      <c r="E51" s="13"/>
      <c r="F51" s="13"/>
      <c r="G51" s="13"/>
      <c r="H51" s="13"/>
      <c r="I51" s="13"/>
      <c r="J51" s="13"/>
      <c r="K51" s="13"/>
      <c r="L51" s="13"/>
      <c r="V51"/>
      <c r="W51"/>
    </row>
    <row r="52" spans="1:23" ht="12.75">
      <c r="A52" s="5"/>
      <c r="C52" s="2"/>
      <c r="D52" s="2"/>
      <c r="E52" s="2"/>
      <c r="F52" s="2"/>
      <c r="G52" s="2"/>
      <c r="H52" s="2"/>
      <c r="I52" s="2"/>
      <c r="J52" s="2"/>
      <c r="K52" s="2"/>
      <c r="L52" s="2"/>
      <c r="V52"/>
      <c r="W52"/>
    </row>
    <row r="53" spans="1:23" ht="12.75">
      <c r="A53" s="4"/>
      <c r="V53"/>
      <c r="W53"/>
    </row>
    <row r="54" spans="1:23" ht="12.75">
      <c r="A54" s="3"/>
      <c r="V54"/>
      <c r="W54"/>
    </row>
    <row r="55" spans="1:23" ht="12.75">
      <c r="A55" s="3"/>
      <c r="V55"/>
      <c r="W55"/>
    </row>
    <row r="56" ht="12.75">
      <c r="A56" s="4"/>
    </row>
    <row r="57" spans="1:12" ht="12.75">
      <c r="A57" s="5"/>
      <c r="B57" s="18"/>
      <c r="C57" s="19"/>
      <c r="D57" s="13"/>
      <c r="E57" s="13"/>
      <c r="F57" s="13"/>
      <c r="G57" s="13"/>
      <c r="H57" s="13"/>
      <c r="I57" s="13"/>
      <c r="J57" s="13"/>
      <c r="K57" s="13"/>
      <c r="L57" s="13"/>
    </row>
    <row r="58" spans="4:12" ht="12.75">
      <c r="D58" s="13"/>
      <c r="E58" s="13"/>
      <c r="F58" s="13"/>
      <c r="G58" s="13"/>
      <c r="H58" s="13"/>
      <c r="I58" s="13"/>
      <c r="J58" s="13"/>
      <c r="K58" s="13"/>
      <c r="L58" s="13"/>
    </row>
    <row r="64" ht="12.75">
      <c r="B64" s="1"/>
    </row>
    <row r="65" ht="12.75">
      <c r="B65" s="1"/>
    </row>
    <row r="66" ht="12.75">
      <c r="B66" s="1"/>
    </row>
    <row r="67" spans="3:12" ht="12.75">
      <c r="C67" s="13"/>
      <c r="D67" s="13"/>
      <c r="E67" s="13"/>
      <c r="F67" s="13"/>
      <c r="G67" s="13"/>
      <c r="H67" s="13"/>
      <c r="I67" s="13"/>
      <c r="J67" s="13"/>
      <c r="K67" s="13"/>
      <c r="L67" s="13"/>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W45"/>
  <sheetViews>
    <sheetView zoomScalePageLayoutView="0" workbookViewId="0" topLeftCell="A1">
      <selection activeCell="A1" sqref="A1"/>
    </sheetView>
  </sheetViews>
  <sheetFormatPr defaultColWidth="9.140625" defaultRowHeight="12.75"/>
  <cols>
    <col min="1" max="1" width="48.28125" style="1" customWidth="1"/>
    <col min="2" max="2" width="9.57421875" style="17" customWidth="1"/>
    <col min="3" max="11" width="9.140625" style="1" customWidth="1"/>
    <col min="12" max="12" width="10.140625" style="1" customWidth="1"/>
    <col min="13" max="16384" width="9.140625" style="1" customWidth="1"/>
  </cols>
  <sheetData>
    <row r="1" spans="1:23" ht="12.75">
      <c r="A1" s="5" t="s">
        <v>8</v>
      </c>
      <c r="V1"/>
      <c r="W1"/>
    </row>
    <row r="2" spans="1:23" ht="12.75">
      <c r="A2" s="14" t="s">
        <v>9</v>
      </c>
      <c r="V2"/>
      <c r="W2"/>
    </row>
    <row r="3" spans="1:23" ht="12.75">
      <c r="A3" s="3" t="s">
        <v>11</v>
      </c>
      <c r="V3"/>
      <c r="W3"/>
    </row>
    <row r="4" spans="1:23" ht="12.75">
      <c r="A4" s="1" t="s">
        <v>96</v>
      </c>
      <c r="V4"/>
      <c r="W4"/>
    </row>
    <row r="5" spans="1:23" ht="12.75">
      <c r="A5" s="10" t="s">
        <v>10</v>
      </c>
      <c r="B5" s="6"/>
      <c r="V5"/>
      <c r="W5"/>
    </row>
    <row r="6" spans="1:23" ht="12.75">
      <c r="A6" s="3" t="s">
        <v>12</v>
      </c>
      <c r="B6" s="6">
        <v>0.35</v>
      </c>
      <c r="N6" s="2"/>
      <c r="O6" s="2"/>
      <c r="P6" s="2"/>
      <c r="Q6" s="2"/>
      <c r="R6" s="2"/>
      <c r="S6" s="2"/>
      <c r="T6" s="2"/>
      <c r="U6" s="2"/>
      <c r="V6"/>
      <c r="W6"/>
    </row>
    <row r="7" spans="1:23" ht="12.75">
      <c r="A7" s="10" t="s">
        <v>14</v>
      </c>
      <c r="C7" s="2"/>
      <c r="D7" s="2"/>
      <c r="E7" s="2"/>
      <c r="F7" s="2"/>
      <c r="G7" s="2"/>
      <c r="H7" s="2"/>
      <c r="I7" s="2"/>
      <c r="J7" s="2"/>
      <c r="K7" s="2"/>
      <c r="L7" s="2"/>
      <c r="M7" s="2"/>
      <c r="N7" s="2"/>
      <c r="O7" s="2"/>
      <c r="P7" s="2"/>
      <c r="Q7" s="2"/>
      <c r="R7" s="2"/>
      <c r="S7" s="2"/>
      <c r="T7" s="2"/>
      <c r="U7" s="2"/>
      <c r="V7"/>
      <c r="W7"/>
    </row>
    <row r="8" spans="1:23" ht="12.75">
      <c r="A8" s="1" t="s">
        <v>5</v>
      </c>
      <c r="B8" s="16">
        <v>0</v>
      </c>
      <c r="C8" s="2">
        <v>1</v>
      </c>
      <c r="D8" s="2">
        <v>2</v>
      </c>
      <c r="E8" s="2">
        <v>3</v>
      </c>
      <c r="F8" s="2">
        <v>4</v>
      </c>
      <c r="G8" s="2">
        <v>5</v>
      </c>
      <c r="H8" s="2">
        <v>6</v>
      </c>
      <c r="I8" s="2">
        <v>7</v>
      </c>
      <c r="J8" s="2">
        <v>8</v>
      </c>
      <c r="K8" s="2">
        <v>9</v>
      </c>
      <c r="L8" s="2">
        <v>10</v>
      </c>
      <c r="M8" s="2">
        <v>11</v>
      </c>
      <c r="N8" s="2"/>
      <c r="O8" s="2"/>
      <c r="P8" s="2"/>
      <c r="Q8" s="2"/>
      <c r="R8" s="2"/>
      <c r="S8" s="2"/>
      <c r="T8" s="2"/>
      <c r="U8" s="2"/>
      <c r="V8"/>
      <c r="W8"/>
    </row>
    <row r="9" spans="1:23" ht="12.75">
      <c r="A9" s="5" t="s">
        <v>15</v>
      </c>
      <c r="C9" s="13"/>
      <c r="D9" s="13"/>
      <c r="E9" s="13"/>
      <c r="F9" s="13"/>
      <c r="G9" s="13"/>
      <c r="H9" s="13"/>
      <c r="I9" s="13"/>
      <c r="J9" s="13"/>
      <c r="K9" s="13"/>
      <c r="L9" s="13"/>
      <c r="M9" s="2"/>
      <c r="N9" s="2"/>
      <c r="O9" s="2"/>
      <c r="P9" s="2"/>
      <c r="Q9" s="2"/>
      <c r="R9" s="2"/>
      <c r="S9" s="2"/>
      <c r="T9" s="2"/>
      <c r="U9" s="2"/>
      <c r="V9"/>
      <c r="W9"/>
    </row>
    <row r="10" spans="1:23" ht="12.75">
      <c r="A10" s="4" t="s">
        <v>58</v>
      </c>
      <c r="B10" s="17">
        <f>-'1.PropertyValue'!B12/'1.PropertyValue'!B17</f>
        <v>-1200</v>
      </c>
      <c r="C10" s="13"/>
      <c r="D10" s="13"/>
      <c r="E10" s="13"/>
      <c r="F10" s="13"/>
      <c r="G10" s="13"/>
      <c r="H10" s="13"/>
      <c r="I10" s="13"/>
      <c r="J10" s="13"/>
      <c r="K10" s="13"/>
      <c r="L10" s="13"/>
      <c r="M10" s="2"/>
      <c r="N10" s="2"/>
      <c r="O10" s="2"/>
      <c r="P10" s="2"/>
      <c r="Q10" s="2"/>
      <c r="R10" s="2"/>
      <c r="S10" s="2"/>
      <c r="T10" s="2"/>
      <c r="U10" s="2"/>
      <c r="V10"/>
      <c r="W10"/>
    </row>
    <row r="11" spans="1:23" ht="12.75">
      <c r="A11" s="1" t="s">
        <v>16</v>
      </c>
      <c r="C11" s="13">
        <f>$B6*'1.PropertyValue'!C22</f>
        <v>8.076923076923077</v>
      </c>
      <c r="D11" s="13">
        <f>$B6*'1.PropertyValue'!D22</f>
        <v>8.076923076923077</v>
      </c>
      <c r="E11" s="13">
        <f>$B6*'1.PropertyValue'!E22</f>
        <v>8.076923076923077</v>
      </c>
      <c r="F11" s="13">
        <f>$B6*'1.PropertyValue'!F22</f>
        <v>8.076923076923077</v>
      </c>
      <c r="G11" s="13">
        <f>$B6*'1.PropertyValue'!G22</f>
        <v>8.076923076923077</v>
      </c>
      <c r="H11" s="13">
        <f>$B6*'1.PropertyValue'!H22</f>
        <v>8.076923076923077</v>
      </c>
      <c r="I11" s="13">
        <f>$B6*'1.PropertyValue'!I22</f>
        <v>8.076923076923077</v>
      </c>
      <c r="J11" s="13">
        <f>$B6*'1.PropertyValue'!J22</f>
        <v>8.076923076923077</v>
      </c>
      <c r="K11" s="13">
        <f>$B6*'1.PropertyValue'!K22</f>
        <v>8.076923076923077</v>
      </c>
      <c r="L11" s="13">
        <f>$B6*'1.PropertyValue'!K22-10*'1.PropertyValue'!K22*'1.PropertyValue'!B8</f>
        <v>-49.61538461538461</v>
      </c>
      <c r="M11" s="37" t="s">
        <v>140</v>
      </c>
      <c r="N11" s="2"/>
      <c r="O11" s="2"/>
      <c r="P11" s="2"/>
      <c r="Q11" s="2"/>
      <c r="R11" s="2"/>
      <c r="S11" s="2"/>
      <c r="T11" s="2"/>
      <c r="U11" s="2"/>
      <c r="V11"/>
      <c r="W11"/>
    </row>
    <row r="12" spans="1:23" ht="12.75">
      <c r="A12" s="1" t="s">
        <v>17</v>
      </c>
      <c r="C12" s="13">
        <f>'1.PropertyValue'!C21</f>
        <v>90</v>
      </c>
      <c r="D12" s="13">
        <f>'1.PropertyValue'!D21</f>
        <v>90</v>
      </c>
      <c r="E12" s="13">
        <f>'1.PropertyValue'!E21</f>
        <v>90</v>
      </c>
      <c r="F12" s="13">
        <f>'1.PropertyValue'!F21</f>
        <v>90</v>
      </c>
      <c r="G12" s="13">
        <f>'1.PropertyValue'!G21</f>
        <v>90</v>
      </c>
      <c r="H12" s="13">
        <f>'1.PropertyValue'!H21</f>
        <v>90</v>
      </c>
      <c r="I12" s="13">
        <f>'1.PropertyValue'!I21</f>
        <v>90</v>
      </c>
      <c r="J12" s="13">
        <f>'1.PropertyValue'!J21</f>
        <v>90</v>
      </c>
      <c r="K12" s="13">
        <f>'1.PropertyValue'!K21</f>
        <v>90</v>
      </c>
      <c r="L12" s="13">
        <f>'1.PropertyValue'!L21</f>
        <v>90</v>
      </c>
      <c r="M12" s="2"/>
      <c r="N12" s="2"/>
      <c r="O12" s="2"/>
      <c r="P12" s="2"/>
      <c r="Q12" s="2"/>
      <c r="R12" s="2"/>
      <c r="S12" s="2"/>
      <c r="T12" s="2"/>
      <c r="U12" s="2"/>
      <c r="V12"/>
      <c r="W12"/>
    </row>
    <row r="13" spans="1:23" ht="12.75">
      <c r="A13" s="1" t="s">
        <v>18</v>
      </c>
      <c r="C13" s="13">
        <f>-$B6*'1.PropertyValue'!C21</f>
        <v>-31.499999999999996</v>
      </c>
      <c r="D13" s="13">
        <f>-$B6*'1.PropertyValue'!D21</f>
        <v>-31.499999999999996</v>
      </c>
      <c r="E13" s="13">
        <f>-$B6*'1.PropertyValue'!E21</f>
        <v>-31.499999999999996</v>
      </c>
      <c r="F13" s="13">
        <f>-$B6*'1.PropertyValue'!F21</f>
        <v>-31.499999999999996</v>
      </c>
      <c r="G13" s="13">
        <f>-$B6*'1.PropertyValue'!G21</f>
        <v>-31.499999999999996</v>
      </c>
      <c r="H13" s="13">
        <f>-$B6*'1.PropertyValue'!H21</f>
        <v>-31.499999999999996</v>
      </c>
      <c r="I13" s="13">
        <f>-$B6*'1.PropertyValue'!I21</f>
        <v>-31.499999999999996</v>
      </c>
      <c r="J13" s="13">
        <f>-$B6*'1.PropertyValue'!J21</f>
        <v>-31.499999999999996</v>
      </c>
      <c r="K13" s="13">
        <f>-$B6*'1.PropertyValue'!K21</f>
        <v>-31.499999999999996</v>
      </c>
      <c r="L13" s="13">
        <f>-$B6*'1.PropertyValue'!L21</f>
        <v>-31.499999999999996</v>
      </c>
      <c r="M13" s="2"/>
      <c r="N13" s="2"/>
      <c r="O13" s="2"/>
      <c r="P13" s="2"/>
      <c r="Q13" s="2"/>
      <c r="R13" s="2"/>
      <c r="S13" s="2"/>
      <c r="T13" s="2"/>
      <c r="U13" s="2"/>
      <c r="V13"/>
      <c r="W13"/>
    </row>
    <row r="14" spans="1:23" ht="12.75">
      <c r="A14" s="1" t="s">
        <v>56</v>
      </c>
      <c r="C14" s="13">
        <f>SUM(C11:C13)</f>
        <v>66.57692307692308</v>
      </c>
      <c r="D14" s="13">
        <f aca="true" t="shared" si="0" ref="D14:L14">SUM(D11:D13)</f>
        <v>66.57692307692308</v>
      </c>
      <c r="E14" s="13">
        <f t="shared" si="0"/>
        <v>66.57692307692308</v>
      </c>
      <c r="F14" s="13">
        <f t="shared" si="0"/>
        <v>66.57692307692308</v>
      </c>
      <c r="G14" s="13">
        <f t="shared" si="0"/>
        <v>66.57692307692308</v>
      </c>
      <c r="H14" s="13">
        <f t="shared" si="0"/>
        <v>66.57692307692308</v>
      </c>
      <c r="I14" s="13">
        <f t="shared" si="0"/>
        <v>66.57692307692308</v>
      </c>
      <c r="J14" s="13">
        <f t="shared" si="0"/>
        <v>66.57692307692308</v>
      </c>
      <c r="K14" s="13">
        <f t="shared" si="0"/>
        <v>66.57692307692308</v>
      </c>
      <c r="L14" s="13">
        <f t="shared" si="0"/>
        <v>8.88461538461539</v>
      </c>
      <c r="M14" s="2"/>
      <c r="N14" s="2"/>
      <c r="O14" s="2"/>
      <c r="P14" s="2"/>
      <c r="Q14" s="2"/>
      <c r="R14" s="2"/>
      <c r="S14" s="2"/>
      <c r="T14" s="2"/>
      <c r="U14" s="2"/>
      <c r="V14"/>
      <c r="W14"/>
    </row>
    <row r="15" spans="1:23" ht="12.75">
      <c r="A15" s="1" t="s">
        <v>57</v>
      </c>
      <c r="B15" s="17">
        <f>NPV('1.PropertyValue'!B16,'2.Buy_vs_Lease'!C15:L15)</f>
        <v>416.2065421270286</v>
      </c>
      <c r="C15" s="13">
        <f>(1-'1.PropertyValue'!$B9)*C14</f>
        <v>56.590384615384615</v>
      </c>
      <c r="D15" s="13">
        <f>(1-'1.PropertyValue'!$B9)*D14</f>
        <v>56.590384615384615</v>
      </c>
      <c r="E15" s="13">
        <f>(1-'1.PropertyValue'!$B9)*E14</f>
        <v>56.590384615384615</v>
      </c>
      <c r="F15" s="13">
        <f>(1-'1.PropertyValue'!$B9)*F14</f>
        <v>56.590384615384615</v>
      </c>
      <c r="G15" s="13">
        <f>(1-'1.PropertyValue'!$B9)*G14</f>
        <v>56.590384615384615</v>
      </c>
      <c r="H15" s="13">
        <f>(1-'1.PropertyValue'!$B9)*H14</f>
        <v>56.590384615384615</v>
      </c>
      <c r="I15" s="13">
        <f>(1-'1.PropertyValue'!$B9)*I14</f>
        <v>56.590384615384615</v>
      </c>
      <c r="J15" s="13">
        <f>(1-'1.PropertyValue'!$B9)*J14</f>
        <v>56.590384615384615</v>
      </c>
      <c r="K15" s="13">
        <f>(1-'1.PropertyValue'!$B9)*K14</f>
        <v>56.590384615384615</v>
      </c>
      <c r="L15" s="13">
        <f>(1-'1.PropertyValue'!$B9)*L14</f>
        <v>7.551923076923082</v>
      </c>
      <c r="M15" s="2"/>
      <c r="N15" s="2"/>
      <c r="O15" s="2"/>
      <c r="P15" s="2"/>
      <c r="Q15" s="2"/>
      <c r="R15" s="2"/>
      <c r="S15" s="2"/>
      <c r="T15" s="2"/>
      <c r="U15" s="2"/>
      <c r="V15"/>
      <c r="W15"/>
    </row>
    <row r="16" spans="1:23" ht="12.75">
      <c r="A16" s="15" t="s">
        <v>20</v>
      </c>
      <c r="B16" s="17">
        <f>-PV('1.PropertyValue'!B34,L8,0,L16)</f>
        <v>667.6165664000437</v>
      </c>
      <c r="C16" s="13"/>
      <c r="D16" s="13"/>
      <c r="E16" s="13"/>
      <c r="F16" s="13"/>
      <c r="G16" s="13"/>
      <c r="H16" s="13"/>
      <c r="I16" s="13"/>
      <c r="J16" s="13"/>
      <c r="K16" s="13"/>
      <c r="L16" s="13">
        <f>L25-MAX(0,(L25+B10)*'1.PropertyValue'!B9)</f>
        <v>1200</v>
      </c>
      <c r="M16" s="37" t="s">
        <v>97</v>
      </c>
      <c r="N16" s="2"/>
      <c r="O16" s="2"/>
      <c r="P16" s="2"/>
      <c r="Q16" s="2"/>
      <c r="R16" s="2"/>
      <c r="S16" s="2"/>
      <c r="T16" s="2"/>
      <c r="U16" s="2"/>
      <c r="V16"/>
      <c r="W16"/>
    </row>
    <row r="17" spans="1:23" ht="12.75">
      <c r="A17" s="5" t="s">
        <v>21</v>
      </c>
      <c r="B17" s="18">
        <f>SUM(B15:B16)+B10</f>
        <v>-116.17689147292776</v>
      </c>
      <c r="M17" s="2"/>
      <c r="N17" s="2"/>
      <c r="O17" s="2"/>
      <c r="P17" s="2"/>
      <c r="Q17" s="2"/>
      <c r="R17" s="2"/>
      <c r="S17" s="2"/>
      <c r="T17" s="2"/>
      <c r="U17" s="2"/>
      <c r="V17"/>
      <c r="W17"/>
    </row>
    <row r="18" spans="1:23" ht="12.75">
      <c r="A18" s="3" t="s">
        <v>22</v>
      </c>
      <c r="B18" s="6"/>
      <c r="C18" s="16"/>
      <c r="D18" s="2"/>
      <c r="E18" s="2"/>
      <c r="F18" s="2"/>
      <c r="G18" s="2"/>
      <c r="H18" s="2"/>
      <c r="I18" s="2"/>
      <c r="J18" s="2"/>
      <c r="K18" s="2"/>
      <c r="L18" s="2"/>
      <c r="M18" s="2"/>
      <c r="N18" s="2"/>
      <c r="O18" s="2"/>
      <c r="P18" s="2"/>
      <c r="Q18" s="2"/>
      <c r="R18" s="2"/>
      <c r="S18" s="2"/>
      <c r="T18" s="2"/>
      <c r="U18" s="2"/>
      <c r="V18"/>
      <c r="W18"/>
    </row>
    <row r="19" spans="1:23" ht="12.75">
      <c r="A19" s="11" t="s">
        <v>64</v>
      </c>
      <c r="N19" s="2"/>
      <c r="O19" s="2"/>
      <c r="P19" s="2"/>
      <c r="Q19" s="2"/>
      <c r="R19" s="2"/>
      <c r="S19" s="2"/>
      <c r="T19" s="2"/>
      <c r="U19" s="2"/>
      <c r="V19"/>
      <c r="W19"/>
    </row>
    <row r="20" spans="1:23" ht="12.75">
      <c r="A20" s="1" t="s">
        <v>23</v>
      </c>
      <c r="B20" s="17">
        <f>-B10</f>
        <v>1200</v>
      </c>
      <c r="V20"/>
      <c r="W20"/>
    </row>
    <row r="21" spans="1:23" ht="12.75">
      <c r="A21" s="3" t="s">
        <v>24</v>
      </c>
      <c r="C21" s="13">
        <f>'1.PropertyValue'!C22</f>
        <v>23.076923076923077</v>
      </c>
      <c r="D21" s="13">
        <f>'1.PropertyValue'!D22</f>
        <v>23.076923076923077</v>
      </c>
      <c r="E21" s="13">
        <f>'1.PropertyValue'!E22</f>
        <v>23.076923076923077</v>
      </c>
      <c r="F21" s="13">
        <f>'1.PropertyValue'!F22</f>
        <v>23.076923076923077</v>
      </c>
      <c r="G21" s="13">
        <f>'1.PropertyValue'!G22</f>
        <v>23.076923076923077</v>
      </c>
      <c r="H21" s="13">
        <f>'1.PropertyValue'!H22</f>
        <v>23.076923076923077</v>
      </c>
      <c r="I21" s="13">
        <f>'1.PropertyValue'!I22</f>
        <v>23.076923076923077</v>
      </c>
      <c r="J21" s="13">
        <f>'1.PropertyValue'!J22</f>
        <v>23.076923076923077</v>
      </c>
      <c r="K21" s="13">
        <f>'1.PropertyValue'!K22</f>
        <v>23.076923076923077</v>
      </c>
      <c r="L21" s="13">
        <f>'1.PropertyValue'!L22</f>
        <v>-207.6923076923077</v>
      </c>
      <c r="V21"/>
      <c r="W21"/>
    </row>
    <row r="22" spans="1:23" ht="12.75">
      <c r="A22" s="3" t="s">
        <v>25</v>
      </c>
      <c r="B22" s="17">
        <f>-NPV('1.PropertyValue'!B16,C22:L22)</f>
        <v>-22.746630770225405</v>
      </c>
      <c r="C22" s="13">
        <f>C21*$B6*(1-'1.PropertyValue'!$B9)</f>
        <v>6.865384615384615</v>
      </c>
      <c r="D22" s="13">
        <f>D21*$B6*(1-'1.PropertyValue'!$B9)</f>
        <v>6.865384615384615</v>
      </c>
      <c r="E22" s="13">
        <f>E21*$B6*(1-'1.PropertyValue'!$B9)</f>
        <v>6.865384615384615</v>
      </c>
      <c r="F22" s="13">
        <f>F21*$B6*(1-'1.PropertyValue'!$B9)</f>
        <v>6.865384615384615</v>
      </c>
      <c r="G22" s="13">
        <f>G21*$B6*(1-'1.PropertyValue'!$B9)</f>
        <v>6.865384615384615</v>
      </c>
      <c r="H22" s="13">
        <f>H21*$B6*(1-'1.PropertyValue'!$B9)</f>
        <v>6.865384615384615</v>
      </c>
      <c r="I22" s="13">
        <f>I21*$B6*(1-'1.PropertyValue'!$B9)</f>
        <v>6.865384615384615</v>
      </c>
      <c r="J22" s="13">
        <f>J21*$B6*(1-'1.PropertyValue'!$B9)</f>
        <v>6.865384615384615</v>
      </c>
      <c r="K22" s="13">
        <f>K21*$B6*(1-'1.PropertyValue'!$B9)</f>
        <v>6.865384615384615</v>
      </c>
      <c r="L22" s="13">
        <f>J21*$B6*(1-'1.PropertyValue'!B9)-10*J21*'1.PropertyValue'!B8*(1-'1.PropertyValue'!B9)</f>
        <v>-42.17307692307693</v>
      </c>
      <c r="V22"/>
      <c r="W22"/>
    </row>
    <row r="23" spans="1:23" ht="12.75">
      <c r="A23" s="3" t="s">
        <v>26</v>
      </c>
      <c r="C23" s="13"/>
      <c r="D23" s="13"/>
      <c r="E23" s="13"/>
      <c r="F23" s="13"/>
      <c r="G23" s="13"/>
      <c r="H23" s="13"/>
      <c r="I23" s="13"/>
      <c r="J23" s="13"/>
      <c r="K23" s="13"/>
      <c r="L23" s="13">
        <f>'1.PropertyValue'!L24</f>
        <v>1200</v>
      </c>
      <c r="V23"/>
      <c r="W23"/>
    </row>
    <row r="24" spans="1:23" ht="12.75">
      <c r="A24" s="1" t="s">
        <v>27</v>
      </c>
      <c r="C24" s="13"/>
      <c r="D24" s="13"/>
      <c r="E24" s="13"/>
      <c r="F24" s="13"/>
      <c r="G24" s="13"/>
      <c r="H24" s="13"/>
      <c r="I24" s="13"/>
      <c r="J24" s="13"/>
      <c r="K24" s="13"/>
      <c r="L24" s="13">
        <f>'1.PropertyValue'!B9*(MAX(0,L23-B20))</f>
        <v>0</v>
      </c>
      <c r="V24"/>
      <c r="W24"/>
    </row>
    <row r="25" spans="1:23" ht="12.75">
      <c r="A25" s="1" t="s">
        <v>28</v>
      </c>
      <c r="B25" s="1"/>
      <c r="C25" s="13"/>
      <c r="D25" s="13"/>
      <c r="E25" s="13"/>
      <c r="F25" s="13"/>
      <c r="G25" s="13"/>
      <c r="H25" s="13"/>
      <c r="I25" s="13"/>
      <c r="J25" s="13"/>
      <c r="K25" s="13"/>
      <c r="L25" s="13">
        <f>L23-L24</f>
        <v>1200</v>
      </c>
      <c r="V25"/>
      <c r="W25"/>
    </row>
    <row r="26" spans="2:23" ht="12.75">
      <c r="B26" s="17">
        <f>-(L25-MAX(0,(L25-B20))*'1.PropertyValue'!B9)/(1+'1.PropertyValue'!B34)^L8</f>
        <v>-667.6165664000437</v>
      </c>
      <c r="C26" s="13"/>
      <c r="D26" s="13"/>
      <c r="E26" s="13"/>
      <c r="F26" s="13"/>
      <c r="G26" s="13"/>
      <c r="H26" s="13"/>
      <c r="I26" s="13"/>
      <c r="J26" s="13"/>
      <c r="K26" s="13"/>
      <c r="L26" s="13">
        <f>L25-MAX(0,L25-B20)*'1.PropertyValue'!B9</f>
        <v>1200</v>
      </c>
      <c r="V26"/>
      <c r="W26"/>
    </row>
    <row r="27" spans="1:23" ht="12.75">
      <c r="A27" s="3" t="s">
        <v>29</v>
      </c>
      <c r="B27" s="17">
        <f>B20</f>
        <v>1200</v>
      </c>
      <c r="C27" s="13">
        <f aca="true" t="shared" si="1" ref="C27:K27">C20-C22-C25</f>
        <v>-6.865384615384615</v>
      </c>
      <c r="D27" s="13">
        <f t="shared" si="1"/>
        <v>-6.865384615384615</v>
      </c>
      <c r="E27" s="13">
        <f t="shared" si="1"/>
        <v>-6.865384615384615</v>
      </c>
      <c r="F27" s="13">
        <f t="shared" si="1"/>
        <v>-6.865384615384615</v>
      </c>
      <c r="G27" s="13">
        <f t="shared" si="1"/>
        <v>-6.865384615384615</v>
      </c>
      <c r="H27" s="13">
        <f t="shared" si="1"/>
        <v>-6.865384615384615</v>
      </c>
      <c r="I27" s="13">
        <f t="shared" si="1"/>
        <v>-6.865384615384615</v>
      </c>
      <c r="J27" s="13">
        <f t="shared" si="1"/>
        <v>-6.865384615384615</v>
      </c>
      <c r="K27" s="13">
        <f t="shared" si="1"/>
        <v>-6.865384615384615</v>
      </c>
      <c r="L27" s="13">
        <f>L20-L22-L25</f>
        <v>-1157.826923076923</v>
      </c>
      <c r="V27"/>
      <c r="W27"/>
    </row>
    <row r="28" spans="1:23" ht="12.75">
      <c r="A28" s="4" t="s">
        <v>99</v>
      </c>
      <c r="B28" s="17">
        <f>SUM(B22,B26,B27)</f>
        <v>509.636802829731</v>
      </c>
      <c r="C28" s="13"/>
      <c r="D28" s="13"/>
      <c r="E28" s="13"/>
      <c r="F28" s="13"/>
      <c r="G28" s="13"/>
      <c r="H28" s="13"/>
      <c r="I28" s="13"/>
      <c r="J28" s="13"/>
      <c r="K28" s="13"/>
      <c r="L28" s="13"/>
      <c r="V28"/>
      <c r="W28"/>
    </row>
    <row r="29" spans="1:23" ht="12.75">
      <c r="A29" s="4"/>
      <c r="C29" s="13"/>
      <c r="D29" s="13"/>
      <c r="E29" s="13"/>
      <c r="F29" s="13"/>
      <c r="G29" s="13"/>
      <c r="H29" s="13"/>
      <c r="I29" s="13"/>
      <c r="J29" s="13"/>
      <c r="K29" s="13"/>
      <c r="L29" s="13"/>
      <c r="V29"/>
      <c r="W29"/>
    </row>
    <row r="30" spans="1:23" ht="12.75">
      <c r="A30" s="11" t="s">
        <v>65</v>
      </c>
      <c r="C30" s="2"/>
      <c r="D30" s="2"/>
      <c r="E30" s="2"/>
      <c r="F30" s="2"/>
      <c r="G30" s="2"/>
      <c r="H30" s="2"/>
      <c r="I30" s="2"/>
      <c r="J30" s="2"/>
      <c r="K30" s="2"/>
      <c r="L30" s="2"/>
      <c r="V30"/>
      <c r="W30"/>
    </row>
    <row r="31" spans="1:23" ht="12.75">
      <c r="A31" s="4" t="s">
        <v>30</v>
      </c>
      <c r="C31" s="1">
        <f>'1.PropertyValue'!C21</f>
        <v>90</v>
      </c>
      <c r="D31" s="1">
        <f>'1.PropertyValue'!D21</f>
        <v>90</v>
      </c>
      <c r="E31" s="1">
        <f>'1.PropertyValue'!E21</f>
        <v>90</v>
      </c>
      <c r="F31" s="1">
        <f>'1.PropertyValue'!F21</f>
        <v>90</v>
      </c>
      <c r="G31" s="1">
        <f>'1.PropertyValue'!G21</f>
        <v>90</v>
      </c>
      <c r="H31" s="1">
        <f>'1.PropertyValue'!H21</f>
        <v>90</v>
      </c>
      <c r="I31" s="1">
        <f>'1.PropertyValue'!I21</f>
        <v>90</v>
      </c>
      <c r="J31" s="1">
        <f>'1.PropertyValue'!J21</f>
        <v>90</v>
      </c>
      <c r="K31" s="1">
        <f>'1.PropertyValue'!K21</f>
        <v>90</v>
      </c>
      <c r="L31" s="1">
        <f>'1.PropertyValue'!L21</f>
        <v>90</v>
      </c>
      <c r="V31"/>
      <c r="W31"/>
    </row>
    <row r="32" spans="1:23" ht="12.75">
      <c r="A32" s="3" t="s">
        <v>31</v>
      </c>
      <c r="C32" s="1">
        <f>$B6*'1.PropertyValue'!C21</f>
        <v>31.499999999999996</v>
      </c>
      <c r="D32" s="1">
        <f>$B6*'1.PropertyValue'!D21</f>
        <v>31.499999999999996</v>
      </c>
      <c r="E32" s="1">
        <f>$B6*'1.PropertyValue'!E21</f>
        <v>31.499999999999996</v>
      </c>
      <c r="F32" s="1">
        <f>$B6*'1.PropertyValue'!F21</f>
        <v>31.499999999999996</v>
      </c>
      <c r="G32" s="1">
        <f>$B6*'1.PropertyValue'!G21</f>
        <v>31.499999999999996</v>
      </c>
      <c r="H32" s="1">
        <f>$B6*'1.PropertyValue'!H21</f>
        <v>31.499999999999996</v>
      </c>
      <c r="I32" s="1">
        <f>$B6*'1.PropertyValue'!I21</f>
        <v>31.499999999999996</v>
      </c>
      <c r="J32" s="1">
        <f>$B6*'1.PropertyValue'!J21</f>
        <v>31.499999999999996</v>
      </c>
      <c r="K32" s="1">
        <f>$B6*'1.PropertyValue'!K21</f>
        <v>31.499999999999996</v>
      </c>
      <c r="L32" s="1">
        <f>$B6*'1.PropertyValue'!L21</f>
        <v>31.499999999999996</v>
      </c>
      <c r="V32"/>
      <c r="W32"/>
    </row>
    <row r="33" spans="1:23" ht="12.75">
      <c r="A33" s="3" t="s">
        <v>32</v>
      </c>
      <c r="C33" s="1">
        <f>+C31-C32</f>
        <v>58.5</v>
      </c>
      <c r="D33" s="1">
        <f aca="true" t="shared" si="2" ref="D33:L33">+D31-D32</f>
        <v>58.5</v>
      </c>
      <c r="E33" s="1">
        <f t="shared" si="2"/>
        <v>58.5</v>
      </c>
      <c r="F33" s="1">
        <f t="shared" si="2"/>
        <v>58.5</v>
      </c>
      <c r="G33" s="1">
        <f t="shared" si="2"/>
        <v>58.5</v>
      </c>
      <c r="H33" s="1">
        <f t="shared" si="2"/>
        <v>58.5</v>
      </c>
      <c r="I33" s="1">
        <f t="shared" si="2"/>
        <v>58.5</v>
      </c>
      <c r="J33" s="1">
        <f t="shared" si="2"/>
        <v>58.5</v>
      </c>
      <c r="K33" s="1">
        <f t="shared" si="2"/>
        <v>58.5</v>
      </c>
      <c r="L33" s="1">
        <f t="shared" si="2"/>
        <v>58.5</v>
      </c>
      <c r="V33"/>
      <c r="W33"/>
    </row>
    <row r="34" spans="1:12" ht="12.75">
      <c r="A34" s="38" t="s">
        <v>98</v>
      </c>
      <c r="B34" s="39">
        <f>NPV('1.PropertyValue'!B16,C34:L34)</f>
        <v>393.4599113568032</v>
      </c>
      <c r="C34" s="1">
        <f>(1-'1.PropertyValue'!$B9)*'2.Buy_vs_Lease'!C33</f>
        <v>49.725</v>
      </c>
      <c r="D34" s="1">
        <f>(1-'1.PropertyValue'!$B9)*'2.Buy_vs_Lease'!D33</f>
        <v>49.725</v>
      </c>
      <c r="E34" s="1">
        <f>(1-'1.PropertyValue'!$B9)*'2.Buy_vs_Lease'!E33</f>
        <v>49.725</v>
      </c>
      <c r="F34" s="1">
        <f>(1-'1.PropertyValue'!$B9)*'2.Buy_vs_Lease'!F33</f>
        <v>49.725</v>
      </c>
      <c r="G34" s="1">
        <f>(1-'1.PropertyValue'!$B9)*'2.Buy_vs_Lease'!G33</f>
        <v>49.725</v>
      </c>
      <c r="H34" s="1">
        <f>(1-'1.PropertyValue'!$B9)*'2.Buy_vs_Lease'!H33</f>
        <v>49.725</v>
      </c>
      <c r="I34" s="1">
        <f>(1-'1.PropertyValue'!$B9)*'2.Buy_vs_Lease'!I33</f>
        <v>49.725</v>
      </c>
      <c r="J34" s="1">
        <f>(1-'1.PropertyValue'!$B9)*'2.Buy_vs_Lease'!J33</f>
        <v>49.725</v>
      </c>
      <c r="K34" s="1">
        <f>(1-'1.PropertyValue'!$B9)*'2.Buy_vs_Lease'!K33</f>
        <v>49.725</v>
      </c>
      <c r="L34" s="1">
        <f>(1-'1.PropertyValue'!$B9)*'2.Buy_vs_Lease'!L33</f>
        <v>49.725</v>
      </c>
    </row>
    <row r="35" spans="1:12" ht="12.75">
      <c r="A35" s="5"/>
      <c r="B35" s="18"/>
      <c r="C35" s="19"/>
      <c r="D35" s="13"/>
      <c r="E35" s="13"/>
      <c r="F35" s="13"/>
      <c r="G35" s="13"/>
      <c r="H35" s="13"/>
      <c r="I35" s="13"/>
      <c r="J35" s="13"/>
      <c r="K35" s="13"/>
      <c r="L35" s="13"/>
    </row>
    <row r="36" spans="1:12" ht="12.75">
      <c r="A36" s="1" t="s">
        <v>100</v>
      </c>
      <c r="B36" s="17">
        <f>B28-B34</f>
        <v>116.17689147292776</v>
      </c>
      <c r="C36" s="1" t="s">
        <v>101</v>
      </c>
      <c r="D36" s="13"/>
      <c r="E36" s="13"/>
      <c r="F36" s="13"/>
      <c r="G36" s="13"/>
      <c r="H36" s="13"/>
      <c r="I36" s="13"/>
      <c r="J36" s="13"/>
      <c r="K36" s="13"/>
      <c r="L36" s="13"/>
    </row>
    <row r="42" ht="12.75">
      <c r="B42" s="1"/>
    </row>
    <row r="43" ht="12.75">
      <c r="B43" s="1"/>
    </row>
    <row r="44" ht="12.75">
      <c r="B44" s="1"/>
    </row>
    <row r="45" spans="3:12" ht="12.75">
      <c r="C45" s="13"/>
      <c r="D45" s="13"/>
      <c r="E45" s="13"/>
      <c r="F45" s="13"/>
      <c r="G45" s="13"/>
      <c r="H45" s="13"/>
      <c r="I45" s="13"/>
      <c r="J45" s="13"/>
      <c r="K45" s="13"/>
      <c r="L45" s="13"/>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W56"/>
  <sheetViews>
    <sheetView zoomScalePageLayoutView="0" workbookViewId="0" topLeftCell="A1">
      <selection activeCell="A1" sqref="A1"/>
    </sheetView>
  </sheetViews>
  <sheetFormatPr defaultColWidth="9.140625" defaultRowHeight="12.75"/>
  <cols>
    <col min="1" max="1" width="57.00390625" style="1" customWidth="1"/>
    <col min="2" max="2" width="9.57421875" style="17" customWidth="1"/>
    <col min="3" max="11" width="9.140625" style="1" customWidth="1"/>
    <col min="12" max="12" width="10.00390625" style="1" customWidth="1"/>
    <col min="13" max="16384" width="9.140625" style="1" customWidth="1"/>
  </cols>
  <sheetData>
    <row r="1" spans="1:23" ht="12.75">
      <c r="A1" s="5" t="s">
        <v>33</v>
      </c>
      <c r="V1"/>
      <c r="W1"/>
    </row>
    <row r="2" spans="1:23" ht="12.75">
      <c r="A2" s="14" t="s">
        <v>9</v>
      </c>
      <c r="V2"/>
      <c r="W2"/>
    </row>
    <row r="3" spans="1:23" ht="12.75">
      <c r="A3" s="1" t="s">
        <v>96</v>
      </c>
      <c r="V3"/>
      <c r="W3"/>
    </row>
    <row r="4" spans="1:23" ht="12.75">
      <c r="A4" s="10" t="s">
        <v>10</v>
      </c>
      <c r="B4" s="6"/>
      <c r="V4"/>
      <c r="W4"/>
    </row>
    <row r="5" spans="1:23" ht="12.75">
      <c r="A5" s="3" t="s">
        <v>11</v>
      </c>
      <c r="B5" s="6"/>
      <c r="V5"/>
      <c r="W5"/>
    </row>
    <row r="6" spans="1:23" ht="12.75">
      <c r="A6" s="3" t="s">
        <v>34</v>
      </c>
      <c r="B6" s="6">
        <f>'2.Buy_vs_Lease'!B6</f>
        <v>0.35</v>
      </c>
      <c r="V6"/>
      <c r="W6"/>
    </row>
    <row r="7" spans="1:23" ht="12.75">
      <c r="A7" s="3" t="s">
        <v>13</v>
      </c>
      <c r="B7" s="6">
        <f>'1.PropertyValue'!B10</f>
        <v>0.75</v>
      </c>
      <c r="C7" s="3"/>
      <c r="V7"/>
      <c r="W7"/>
    </row>
    <row r="8" spans="1:23" ht="12.75">
      <c r="A8" s="1" t="s">
        <v>143</v>
      </c>
      <c r="B8" s="6">
        <f>0.4</f>
        <v>0.4</v>
      </c>
      <c r="C8" s="3"/>
      <c r="V8"/>
      <c r="W8"/>
    </row>
    <row r="9" spans="2:23" ht="12.75">
      <c r="B9" s="6"/>
      <c r="N9" s="2"/>
      <c r="O9" s="2"/>
      <c r="P9" s="2"/>
      <c r="Q9" s="2"/>
      <c r="R9" s="2"/>
      <c r="S9" s="2"/>
      <c r="T9" s="2"/>
      <c r="U9" s="2"/>
      <c r="V9"/>
      <c r="W9"/>
    </row>
    <row r="10" spans="1:23" ht="12.75">
      <c r="A10" s="10" t="s">
        <v>14</v>
      </c>
      <c r="C10" s="2"/>
      <c r="D10" s="2"/>
      <c r="E10" s="2"/>
      <c r="F10" s="2"/>
      <c r="G10" s="2"/>
      <c r="H10" s="2"/>
      <c r="I10" s="2"/>
      <c r="J10" s="2"/>
      <c r="K10" s="2"/>
      <c r="L10" s="2"/>
      <c r="M10" s="2"/>
      <c r="N10" s="2"/>
      <c r="O10" s="2"/>
      <c r="P10" s="2"/>
      <c r="Q10" s="2"/>
      <c r="R10" s="2"/>
      <c r="S10" s="2"/>
      <c r="T10" s="2"/>
      <c r="U10" s="2"/>
      <c r="V10"/>
      <c r="W10"/>
    </row>
    <row r="11" spans="1:23" ht="12.75">
      <c r="A11" s="1" t="s">
        <v>5</v>
      </c>
      <c r="B11" s="16">
        <v>0</v>
      </c>
      <c r="C11" s="2">
        <v>1</v>
      </c>
      <c r="D11" s="2">
        <v>2</v>
      </c>
      <c r="E11" s="2">
        <v>3</v>
      </c>
      <c r="F11" s="2">
        <v>4</v>
      </c>
      <c r="G11" s="2">
        <v>5</v>
      </c>
      <c r="H11" s="2">
        <v>6</v>
      </c>
      <c r="I11" s="2">
        <v>7</v>
      </c>
      <c r="J11" s="2">
        <v>8</v>
      </c>
      <c r="K11" s="2">
        <v>9</v>
      </c>
      <c r="L11" s="2">
        <v>10</v>
      </c>
      <c r="M11" s="2">
        <v>11</v>
      </c>
      <c r="N11" s="2"/>
      <c r="O11" s="2"/>
      <c r="P11" s="2"/>
      <c r="Q11" s="2"/>
      <c r="R11" s="2"/>
      <c r="S11" s="2"/>
      <c r="T11" s="2"/>
      <c r="U11" s="2"/>
      <c r="V11"/>
      <c r="W11"/>
    </row>
    <row r="12" spans="1:23" ht="12.75">
      <c r="A12" s="5" t="s">
        <v>35</v>
      </c>
      <c r="C12" s="13"/>
      <c r="D12" s="13"/>
      <c r="E12" s="13"/>
      <c r="F12" s="13"/>
      <c r="G12" s="13"/>
      <c r="H12" s="13"/>
      <c r="I12" s="13"/>
      <c r="J12" s="13"/>
      <c r="K12" s="13"/>
      <c r="L12" s="13"/>
      <c r="M12" s="2"/>
      <c r="N12" s="2"/>
      <c r="O12" s="2"/>
      <c r="P12" s="2"/>
      <c r="Q12" s="2"/>
      <c r="R12" s="2"/>
      <c r="S12" s="2"/>
      <c r="T12" s="2"/>
      <c r="U12" s="2"/>
      <c r="V12"/>
      <c r="W12"/>
    </row>
    <row r="13" spans="1:23" ht="12.75">
      <c r="A13" s="12" t="s">
        <v>36</v>
      </c>
      <c r="B13" s="17">
        <f>-'1.PropertyValue'!B12/'1.PropertyValue'!B17</f>
        <v>-1200</v>
      </c>
      <c r="C13" s="13"/>
      <c r="D13" s="13"/>
      <c r="E13" s="13"/>
      <c r="F13" s="13"/>
      <c r="G13" s="13"/>
      <c r="H13" s="13"/>
      <c r="I13" s="13"/>
      <c r="J13" s="13"/>
      <c r="K13" s="13"/>
      <c r="L13" s="13"/>
      <c r="M13" s="2"/>
      <c r="N13" s="2"/>
      <c r="O13" s="2"/>
      <c r="P13" s="2"/>
      <c r="Q13" s="2"/>
      <c r="R13" s="2"/>
      <c r="S13" s="2"/>
      <c r="T13" s="2"/>
      <c r="U13" s="2"/>
      <c r="V13"/>
      <c r="W13"/>
    </row>
    <row r="14" spans="1:23" ht="12.75">
      <c r="A14" s="12" t="s">
        <v>27</v>
      </c>
      <c r="B14" s="17">
        <f>'1.PropertyValue'!B9*(B13-B8*B13)</f>
        <v>-108</v>
      </c>
      <c r="C14" s="13"/>
      <c r="D14" s="13"/>
      <c r="E14" s="13"/>
      <c r="F14" s="13"/>
      <c r="G14" s="13"/>
      <c r="H14" s="13"/>
      <c r="I14" s="13"/>
      <c r="J14" s="13"/>
      <c r="K14" s="13"/>
      <c r="L14" s="13"/>
      <c r="M14" s="2"/>
      <c r="N14" s="2"/>
      <c r="O14" s="2"/>
      <c r="P14" s="2"/>
      <c r="Q14" s="2"/>
      <c r="R14" s="2"/>
      <c r="S14" s="2"/>
      <c r="T14" s="2"/>
      <c r="U14" s="2"/>
      <c r="V14"/>
      <c r="W14"/>
    </row>
    <row r="15" spans="1:23" ht="12.75">
      <c r="A15" s="4" t="s">
        <v>37</v>
      </c>
      <c r="B15" s="17">
        <f>B13-B14</f>
        <v>-1092</v>
      </c>
      <c r="C15" s="49" t="s">
        <v>137</v>
      </c>
      <c r="D15" s="13"/>
      <c r="E15" s="13"/>
      <c r="F15" s="13"/>
      <c r="G15" s="13"/>
      <c r="H15" s="13"/>
      <c r="I15" s="13"/>
      <c r="J15" s="13"/>
      <c r="K15" s="13"/>
      <c r="L15" s="13"/>
      <c r="M15" s="2"/>
      <c r="N15" s="2"/>
      <c r="O15" s="2"/>
      <c r="P15" s="2"/>
      <c r="Q15" s="2"/>
      <c r="R15" s="2"/>
      <c r="S15" s="2"/>
      <c r="T15" s="2"/>
      <c r="U15" s="2"/>
      <c r="V15"/>
      <c r="W15"/>
    </row>
    <row r="16" spans="1:23" ht="12.75">
      <c r="A16" s="1" t="s">
        <v>16</v>
      </c>
      <c r="C16" s="13">
        <f aca="true" t="shared" si="0" ref="C16:L16">-C36</f>
        <v>-3.2307692307692304</v>
      </c>
      <c r="D16" s="13">
        <f t="shared" si="0"/>
        <v>-3.2307692307692304</v>
      </c>
      <c r="E16" s="13">
        <f t="shared" si="0"/>
        <v>-3.2307692307692304</v>
      </c>
      <c r="F16" s="13">
        <f t="shared" si="0"/>
        <v>-3.2307692307692304</v>
      </c>
      <c r="G16" s="13">
        <f t="shared" si="0"/>
        <v>-3.2307692307692304</v>
      </c>
      <c r="H16" s="13">
        <f t="shared" si="0"/>
        <v>-3.2307692307692304</v>
      </c>
      <c r="I16" s="13">
        <f t="shared" si="0"/>
        <v>-3.2307692307692304</v>
      </c>
      <c r="J16" s="13">
        <f t="shared" si="0"/>
        <v>-3.2307692307692304</v>
      </c>
      <c r="K16" s="13">
        <f t="shared" si="0"/>
        <v>-3.2307692307692304</v>
      </c>
      <c r="L16" s="13">
        <f t="shared" si="0"/>
        <v>19.846153846153843</v>
      </c>
      <c r="M16" s="2"/>
      <c r="N16" s="2"/>
      <c r="O16" s="2"/>
      <c r="P16" s="2"/>
      <c r="Q16" s="2"/>
      <c r="R16" s="2"/>
      <c r="S16" s="2"/>
      <c r="T16" s="2"/>
      <c r="U16" s="2"/>
      <c r="V16"/>
      <c r="W16"/>
    </row>
    <row r="17" spans="1:23" ht="12.75">
      <c r="A17" s="1" t="s">
        <v>17</v>
      </c>
      <c r="C17" s="13">
        <f>-'1.PropertyValue'!C21</f>
        <v>-90</v>
      </c>
      <c r="D17" s="13">
        <f>-'1.PropertyValue'!D21</f>
        <v>-90</v>
      </c>
      <c r="E17" s="13">
        <f>-'1.PropertyValue'!E21</f>
        <v>-90</v>
      </c>
      <c r="F17" s="13">
        <f>-'1.PropertyValue'!F21</f>
        <v>-90</v>
      </c>
      <c r="G17" s="13">
        <f>-'1.PropertyValue'!G21</f>
        <v>-90</v>
      </c>
      <c r="H17" s="13">
        <f>-'1.PropertyValue'!H21</f>
        <v>-90</v>
      </c>
      <c r="I17" s="13">
        <f>-'1.PropertyValue'!I21</f>
        <v>-90</v>
      </c>
      <c r="J17" s="13">
        <f>-'1.PropertyValue'!J21</f>
        <v>-90</v>
      </c>
      <c r="K17" s="13">
        <f>-'1.PropertyValue'!K21</f>
        <v>-90</v>
      </c>
      <c r="L17" s="13">
        <f>-'1.PropertyValue'!L21</f>
        <v>-90</v>
      </c>
      <c r="M17" s="2"/>
      <c r="N17" s="2"/>
      <c r="O17" s="2"/>
      <c r="P17" s="2"/>
      <c r="Q17" s="2"/>
      <c r="R17" s="2"/>
      <c r="S17" s="2"/>
      <c r="T17" s="2"/>
      <c r="U17" s="2"/>
      <c r="V17"/>
      <c r="W17"/>
    </row>
    <row r="18" spans="1:23" ht="12.75">
      <c r="A18" s="1" t="s">
        <v>18</v>
      </c>
      <c r="C18" s="13">
        <f aca="true" t="shared" si="1" ref="C18:L18">C26</f>
        <v>31.499999999999996</v>
      </c>
      <c r="D18" s="13">
        <f t="shared" si="1"/>
        <v>31.499999999999996</v>
      </c>
      <c r="E18" s="13">
        <f t="shared" si="1"/>
        <v>31.499999999999996</v>
      </c>
      <c r="F18" s="13">
        <f t="shared" si="1"/>
        <v>31.499999999999996</v>
      </c>
      <c r="G18" s="13">
        <f t="shared" si="1"/>
        <v>31.499999999999996</v>
      </c>
      <c r="H18" s="13">
        <f t="shared" si="1"/>
        <v>31.499999999999996</v>
      </c>
      <c r="I18" s="13">
        <f t="shared" si="1"/>
        <v>31.499999999999996</v>
      </c>
      <c r="J18" s="13">
        <f t="shared" si="1"/>
        <v>31.499999999999996</v>
      </c>
      <c r="K18" s="13">
        <f t="shared" si="1"/>
        <v>31.499999999999996</v>
      </c>
      <c r="L18" s="13">
        <f t="shared" si="1"/>
        <v>31.499999999999996</v>
      </c>
      <c r="M18" s="2"/>
      <c r="N18" s="2"/>
      <c r="O18" s="2"/>
      <c r="P18" s="2"/>
      <c r="Q18" s="2"/>
      <c r="R18" s="2"/>
      <c r="S18" s="2"/>
      <c r="T18" s="2"/>
      <c r="U18" s="2"/>
      <c r="V18"/>
      <c r="W18"/>
    </row>
    <row r="19" spans="1:23" ht="12.75">
      <c r="A19" s="1" t="s">
        <v>19</v>
      </c>
      <c r="C19" s="13">
        <f>SUM(C16:C18)</f>
        <v>-61.730769230769226</v>
      </c>
      <c r="D19" s="13">
        <f aca="true" t="shared" si="2" ref="D19:L19">SUM(D16:D18)</f>
        <v>-61.730769230769226</v>
      </c>
      <c r="E19" s="13">
        <f t="shared" si="2"/>
        <v>-61.730769230769226</v>
      </c>
      <c r="F19" s="13">
        <f t="shared" si="2"/>
        <v>-61.730769230769226</v>
      </c>
      <c r="G19" s="13">
        <f t="shared" si="2"/>
        <v>-61.730769230769226</v>
      </c>
      <c r="H19" s="13">
        <f t="shared" si="2"/>
        <v>-61.730769230769226</v>
      </c>
      <c r="I19" s="13">
        <f t="shared" si="2"/>
        <v>-61.730769230769226</v>
      </c>
      <c r="J19" s="13">
        <f t="shared" si="2"/>
        <v>-61.730769230769226</v>
      </c>
      <c r="K19" s="13">
        <f t="shared" si="2"/>
        <v>-61.730769230769226</v>
      </c>
      <c r="L19" s="13">
        <f t="shared" si="2"/>
        <v>-38.65384615384616</v>
      </c>
      <c r="M19" s="2"/>
      <c r="N19" s="2"/>
      <c r="O19" s="2"/>
      <c r="P19" s="2"/>
      <c r="Q19" s="2"/>
      <c r="R19" s="2"/>
      <c r="S19" s="2"/>
      <c r="T19" s="2"/>
      <c r="U19" s="2"/>
      <c r="V19"/>
      <c r="W19"/>
    </row>
    <row r="20" spans="1:23" ht="12.75">
      <c r="A20" s="1" t="s">
        <v>61</v>
      </c>
      <c r="B20" s="17">
        <f>NPV('1.PropertyValue'!B16,'3.SaleLeasbak'!C20:L20)</f>
        <v>-402.5585636648933</v>
      </c>
      <c r="C20" s="13">
        <f>(1-'1.PropertyValue'!$B9)*'3.SaleLeasbak'!C19</f>
        <v>-52.47115384615384</v>
      </c>
      <c r="D20" s="13">
        <f>(1-'1.PropertyValue'!$B9)*'3.SaleLeasbak'!D19</f>
        <v>-52.47115384615384</v>
      </c>
      <c r="E20" s="13">
        <f>(1-'1.PropertyValue'!$B9)*'3.SaleLeasbak'!E19</f>
        <v>-52.47115384615384</v>
      </c>
      <c r="F20" s="13">
        <f>(1-'1.PropertyValue'!$B9)*'3.SaleLeasbak'!F19</f>
        <v>-52.47115384615384</v>
      </c>
      <c r="G20" s="13">
        <f>(1-'1.PropertyValue'!$B9)*'3.SaleLeasbak'!G19</f>
        <v>-52.47115384615384</v>
      </c>
      <c r="H20" s="13">
        <f>(1-'1.PropertyValue'!$B9)*'3.SaleLeasbak'!H19</f>
        <v>-52.47115384615384</v>
      </c>
      <c r="I20" s="13">
        <f>(1-'1.PropertyValue'!$B9)*'3.SaleLeasbak'!I19</f>
        <v>-52.47115384615384</v>
      </c>
      <c r="J20" s="13">
        <f>(1-'1.PropertyValue'!$B9)*'3.SaleLeasbak'!J19</f>
        <v>-52.47115384615384</v>
      </c>
      <c r="K20" s="13">
        <f>(1-'1.PropertyValue'!$B9)*'3.SaleLeasbak'!K19</f>
        <v>-52.47115384615384</v>
      </c>
      <c r="L20" s="13">
        <f>(1-'1.PropertyValue'!$B9)*'3.SaleLeasbak'!L19</f>
        <v>-32.85576923076923</v>
      </c>
      <c r="M20" s="2"/>
      <c r="N20" s="2"/>
      <c r="O20" s="2"/>
      <c r="P20" s="2"/>
      <c r="Q20" s="2"/>
      <c r="R20" s="2"/>
      <c r="S20" s="2"/>
      <c r="T20" s="2"/>
      <c r="U20" s="2"/>
      <c r="V20"/>
      <c r="W20"/>
    </row>
    <row r="21" spans="1:23" ht="12.75">
      <c r="A21" s="15" t="s">
        <v>20</v>
      </c>
      <c r="B21" s="17">
        <f>-PV('1.PropertyValue'!B34,'2.Buy_vs_Lease'!L8,0,L21)</f>
        <v>-607.5310754240397</v>
      </c>
      <c r="C21" s="49" t="s">
        <v>138</v>
      </c>
      <c r="D21" s="13"/>
      <c r="E21" s="13"/>
      <c r="F21" s="13"/>
      <c r="G21" s="13"/>
      <c r="H21" s="13"/>
      <c r="I21" s="13"/>
      <c r="J21" s="13"/>
      <c r="K21" s="13"/>
      <c r="L21" s="13">
        <f>-(L40-MAX(0,(L40+B13))*'1.PropertyValue'!B9)</f>
        <v>-1092</v>
      </c>
      <c r="M21" s="37" t="s">
        <v>141</v>
      </c>
      <c r="N21" s="2"/>
      <c r="O21" s="2"/>
      <c r="P21" s="2"/>
      <c r="Q21" s="2"/>
      <c r="R21" s="2"/>
      <c r="S21" s="2"/>
      <c r="T21" s="2"/>
      <c r="U21" s="2"/>
      <c r="V21"/>
      <c r="W21"/>
    </row>
    <row r="22" spans="1:23" ht="12.75">
      <c r="A22" s="5" t="s">
        <v>38</v>
      </c>
      <c r="B22" s="18">
        <f>-B15+SUM(B20:B21)</f>
        <v>81.91036091106696</v>
      </c>
      <c r="M22" s="2"/>
      <c r="N22" s="2"/>
      <c r="O22" s="2"/>
      <c r="P22" s="2"/>
      <c r="Q22" s="2"/>
      <c r="R22" s="2"/>
      <c r="S22" s="2"/>
      <c r="T22" s="2"/>
      <c r="U22" s="2"/>
      <c r="V22"/>
      <c r="W22"/>
    </row>
    <row r="23" spans="1:23" ht="12.75">
      <c r="A23" s="3" t="s">
        <v>22</v>
      </c>
      <c r="B23" s="16"/>
      <c r="C23" s="2"/>
      <c r="D23" s="2"/>
      <c r="E23" s="2"/>
      <c r="F23" s="2"/>
      <c r="G23" s="2"/>
      <c r="H23" s="2"/>
      <c r="I23" s="2"/>
      <c r="J23" s="2"/>
      <c r="K23" s="2"/>
      <c r="L23" s="2"/>
      <c r="M23" s="2"/>
      <c r="N23" s="2"/>
      <c r="O23" s="2"/>
      <c r="P23" s="2"/>
      <c r="Q23" s="2"/>
      <c r="R23" s="2"/>
      <c r="S23" s="2"/>
      <c r="T23" s="2"/>
      <c r="U23" s="2"/>
      <c r="V23"/>
      <c r="W23"/>
    </row>
    <row r="24" spans="1:23" ht="12.75">
      <c r="A24" s="11" t="s">
        <v>62</v>
      </c>
      <c r="C24" s="2"/>
      <c r="D24" s="2"/>
      <c r="E24" s="2"/>
      <c r="F24" s="2"/>
      <c r="G24" s="2"/>
      <c r="H24" s="2"/>
      <c r="I24" s="2"/>
      <c r="J24" s="2"/>
      <c r="K24" s="2"/>
      <c r="L24" s="2"/>
      <c r="M24" s="2"/>
      <c r="N24" s="2"/>
      <c r="O24" s="2"/>
      <c r="P24" s="2"/>
      <c r="Q24" s="2"/>
      <c r="R24" s="2"/>
      <c r="S24" s="2"/>
      <c r="T24" s="2"/>
      <c r="U24" s="2"/>
      <c r="V24"/>
      <c r="W24"/>
    </row>
    <row r="25" spans="1:23" ht="12.75">
      <c r="A25" s="4" t="s">
        <v>30</v>
      </c>
      <c r="C25" s="1">
        <f>-'1.PropertyValue'!C21</f>
        <v>-90</v>
      </c>
      <c r="D25" s="1">
        <f>-'1.PropertyValue'!D21</f>
        <v>-90</v>
      </c>
      <c r="E25" s="1">
        <f>-'1.PropertyValue'!E21</f>
        <v>-90</v>
      </c>
      <c r="F25" s="1">
        <f>-'1.PropertyValue'!F21</f>
        <v>-90</v>
      </c>
      <c r="G25" s="1">
        <f>-'1.PropertyValue'!G21</f>
        <v>-90</v>
      </c>
      <c r="H25" s="1">
        <f>-'1.PropertyValue'!H21</f>
        <v>-90</v>
      </c>
      <c r="I25" s="1">
        <f>-'1.PropertyValue'!I21</f>
        <v>-90</v>
      </c>
      <c r="J25" s="1">
        <f>-'1.PropertyValue'!J21</f>
        <v>-90</v>
      </c>
      <c r="K25" s="1">
        <f>-'1.PropertyValue'!K21</f>
        <v>-90</v>
      </c>
      <c r="L25" s="1">
        <f>-'1.PropertyValue'!L21</f>
        <v>-90</v>
      </c>
      <c r="V25"/>
      <c r="W25"/>
    </row>
    <row r="26" spans="1:23" ht="12.75">
      <c r="A26" s="3" t="s">
        <v>31</v>
      </c>
      <c r="C26" s="1">
        <f>$B6*'1.PropertyValue'!C21</f>
        <v>31.499999999999996</v>
      </c>
      <c r="D26" s="1">
        <f>$B6*'1.PropertyValue'!D21</f>
        <v>31.499999999999996</v>
      </c>
      <c r="E26" s="1">
        <f>$B6*'1.PropertyValue'!E21</f>
        <v>31.499999999999996</v>
      </c>
      <c r="F26" s="1">
        <f>$B6*'1.PropertyValue'!F21</f>
        <v>31.499999999999996</v>
      </c>
      <c r="G26" s="1">
        <f>$B6*'1.PropertyValue'!G21</f>
        <v>31.499999999999996</v>
      </c>
      <c r="H26" s="1">
        <f>$B6*'1.PropertyValue'!H21</f>
        <v>31.499999999999996</v>
      </c>
      <c r="I26" s="1">
        <f>$B6*'1.PropertyValue'!I21</f>
        <v>31.499999999999996</v>
      </c>
      <c r="J26" s="1">
        <f>$B6*'1.PropertyValue'!J21</f>
        <v>31.499999999999996</v>
      </c>
      <c r="K26" s="1">
        <f>$B6*'1.PropertyValue'!K21</f>
        <v>31.499999999999996</v>
      </c>
      <c r="L26" s="1">
        <f>$B6*'1.PropertyValue'!L21</f>
        <v>31.499999999999996</v>
      </c>
      <c r="V26"/>
      <c r="W26"/>
    </row>
    <row r="27" spans="1:23" ht="12.75">
      <c r="A27" s="3" t="s">
        <v>124</v>
      </c>
      <c r="C27" s="1">
        <f>+C25+C26</f>
        <v>-58.5</v>
      </c>
      <c r="D27" s="1">
        <f aca="true" t="shared" si="3" ref="D27:L27">+D25+D26</f>
        <v>-58.5</v>
      </c>
      <c r="E27" s="1">
        <f t="shared" si="3"/>
        <v>-58.5</v>
      </c>
      <c r="F27" s="1">
        <f t="shared" si="3"/>
        <v>-58.5</v>
      </c>
      <c r="G27" s="1">
        <f t="shared" si="3"/>
        <v>-58.5</v>
      </c>
      <c r="H27" s="1">
        <f t="shared" si="3"/>
        <v>-58.5</v>
      </c>
      <c r="I27" s="1">
        <f t="shared" si="3"/>
        <v>-58.5</v>
      </c>
      <c r="J27" s="1">
        <f t="shared" si="3"/>
        <v>-58.5</v>
      </c>
      <c r="K27" s="1">
        <f t="shared" si="3"/>
        <v>-58.5</v>
      </c>
      <c r="L27" s="1">
        <f t="shared" si="3"/>
        <v>-58.5</v>
      </c>
      <c r="V27"/>
      <c r="W27"/>
    </row>
    <row r="28" spans="1:23" ht="12.75">
      <c r="A28" s="4" t="s">
        <v>125</v>
      </c>
      <c r="C28" s="1">
        <f>(1-'1.PropertyValue'!$B9)*'3.SaleLeasbak'!C27</f>
        <v>-49.725</v>
      </c>
      <c r="D28" s="1">
        <f>(1-'1.PropertyValue'!$B9)*'3.SaleLeasbak'!D27</f>
        <v>-49.725</v>
      </c>
      <c r="E28" s="1">
        <f>(1-'1.PropertyValue'!$B9)*'3.SaleLeasbak'!E27</f>
        <v>-49.725</v>
      </c>
      <c r="F28" s="1">
        <f>(1-'1.PropertyValue'!$B9)*'3.SaleLeasbak'!F27</f>
        <v>-49.725</v>
      </c>
      <c r="G28" s="1">
        <f>(1-'1.PropertyValue'!$B9)*'3.SaleLeasbak'!G27</f>
        <v>-49.725</v>
      </c>
      <c r="H28" s="1">
        <f>(1-'1.PropertyValue'!$B9)*'3.SaleLeasbak'!H27</f>
        <v>-49.725</v>
      </c>
      <c r="I28" s="1">
        <f>(1-'1.PropertyValue'!$B9)*'3.SaleLeasbak'!I27</f>
        <v>-49.725</v>
      </c>
      <c r="J28" s="1">
        <f>(1-'1.PropertyValue'!$B9)*'3.SaleLeasbak'!J27</f>
        <v>-49.725</v>
      </c>
      <c r="K28" s="1">
        <f>(1-'1.PropertyValue'!$B9)*'3.SaleLeasbak'!K27</f>
        <v>-49.725</v>
      </c>
      <c r="L28" s="1">
        <f>(1-'1.PropertyValue'!$B9)*'3.SaleLeasbak'!L27</f>
        <v>-49.725</v>
      </c>
      <c r="V28"/>
      <c r="W28"/>
    </row>
    <row r="29" spans="1:23" ht="12.75">
      <c r="A29" s="4" t="s">
        <v>126</v>
      </c>
      <c r="B29" s="17">
        <f>NPV('1.PropertyValue'!B16,'3.SaleLeasbak'!C28:L28)</f>
        <v>-393.4599113568032</v>
      </c>
      <c r="V29"/>
      <c r="W29"/>
    </row>
    <row r="30" spans="1:23" ht="12.75">
      <c r="A30" s="3"/>
      <c r="V30"/>
      <c r="W30"/>
    </row>
    <row r="31" spans="1:23" ht="12.75">
      <c r="A31" s="11" t="s">
        <v>63</v>
      </c>
      <c r="V31"/>
      <c r="W31"/>
    </row>
    <row r="32" spans="1:23" ht="12.75">
      <c r="A32" s="12" t="s">
        <v>39</v>
      </c>
      <c r="B32" s="17">
        <f>B13</f>
        <v>-1200</v>
      </c>
      <c r="C32" s="1" t="s">
        <v>40</v>
      </c>
      <c r="V32"/>
      <c r="W32"/>
    </row>
    <row r="33" spans="1:23" ht="12.75">
      <c r="A33" s="12" t="s">
        <v>27</v>
      </c>
      <c r="B33" s="17">
        <f>-'1.PropertyValue'!B9*(B32-B8*B32)</f>
        <v>108</v>
      </c>
      <c r="V33"/>
      <c r="W33"/>
    </row>
    <row r="34" spans="1:23" ht="12.75">
      <c r="A34" s="3" t="s">
        <v>41</v>
      </c>
      <c r="B34" s="17">
        <f>B32+B33</f>
        <v>-1092</v>
      </c>
      <c r="V34"/>
      <c r="W34"/>
    </row>
    <row r="35" spans="1:23" ht="12.75">
      <c r="A35" s="3" t="s">
        <v>24</v>
      </c>
      <c r="C35" s="13">
        <f>-B32*B8*B7/39</f>
        <v>9.23076923076923</v>
      </c>
      <c r="D35" s="13">
        <f aca="true" t="shared" si="4" ref="D35:K35">C35</f>
        <v>9.23076923076923</v>
      </c>
      <c r="E35" s="13">
        <f t="shared" si="4"/>
        <v>9.23076923076923</v>
      </c>
      <c r="F35" s="13">
        <f t="shared" si="4"/>
        <v>9.23076923076923</v>
      </c>
      <c r="G35" s="13">
        <f t="shared" si="4"/>
        <v>9.23076923076923</v>
      </c>
      <c r="H35" s="13">
        <f t="shared" si="4"/>
        <v>9.23076923076923</v>
      </c>
      <c r="I35" s="13">
        <f t="shared" si="4"/>
        <v>9.23076923076923</v>
      </c>
      <c r="J35" s="13">
        <f t="shared" si="4"/>
        <v>9.23076923076923</v>
      </c>
      <c r="K35" s="13">
        <f t="shared" si="4"/>
        <v>9.23076923076923</v>
      </c>
      <c r="L35" s="13">
        <f>K35-10*K35</f>
        <v>-83.07692307692307</v>
      </c>
      <c r="V35"/>
      <c r="W35"/>
    </row>
    <row r="36" spans="1:23" ht="12.75">
      <c r="A36" s="3" t="s">
        <v>25</v>
      </c>
      <c r="C36" s="13">
        <f>C35*$B6</f>
        <v>3.2307692307692304</v>
      </c>
      <c r="D36" s="13">
        <f aca="true" t="shared" si="5" ref="D36:K36">D35*$B6</f>
        <v>3.2307692307692304</v>
      </c>
      <c r="E36" s="13">
        <f t="shared" si="5"/>
        <v>3.2307692307692304</v>
      </c>
      <c r="F36" s="13">
        <f t="shared" si="5"/>
        <v>3.2307692307692304</v>
      </c>
      <c r="G36" s="13">
        <f t="shared" si="5"/>
        <v>3.2307692307692304</v>
      </c>
      <c r="H36" s="13">
        <f t="shared" si="5"/>
        <v>3.2307692307692304</v>
      </c>
      <c r="I36" s="13">
        <f t="shared" si="5"/>
        <v>3.2307692307692304</v>
      </c>
      <c r="J36" s="13">
        <f t="shared" si="5"/>
        <v>3.2307692307692304</v>
      </c>
      <c r="K36" s="13">
        <f t="shared" si="5"/>
        <v>3.2307692307692304</v>
      </c>
      <c r="L36" s="13">
        <f>J35*$B6-10*J35*'1.PropertyValue'!B8</f>
        <v>-19.846153846153843</v>
      </c>
      <c r="M36" s="1">
        <f>10*K35*'1.PropertyValue'!B8</f>
        <v>23.076923076923073</v>
      </c>
      <c r="V36"/>
      <c r="W36"/>
    </row>
    <row r="37" spans="1:23" ht="12.75">
      <c r="A37" s="3"/>
      <c r="C37" s="13">
        <f>(1-'1.PropertyValue'!$B9)*'3.SaleLeasbak'!C36</f>
        <v>2.7461538461538457</v>
      </c>
      <c r="D37" s="13">
        <f>(1-'1.PropertyValue'!$B9)*'3.SaleLeasbak'!D36</f>
        <v>2.7461538461538457</v>
      </c>
      <c r="E37" s="13">
        <f>(1-'1.PropertyValue'!$B9)*'3.SaleLeasbak'!E36</f>
        <v>2.7461538461538457</v>
      </c>
      <c r="F37" s="13">
        <f>(1-'1.PropertyValue'!$B9)*'3.SaleLeasbak'!F36</f>
        <v>2.7461538461538457</v>
      </c>
      <c r="G37" s="13">
        <f>(1-'1.PropertyValue'!$B9)*'3.SaleLeasbak'!G36</f>
        <v>2.7461538461538457</v>
      </c>
      <c r="H37" s="13">
        <f>(1-'1.PropertyValue'!$B9)*'3.SaleLeasbak'!H36</f>
        <v>2.7461538461538457</v>
      </c>
      <c r="I37" s="13">
        <f>(1-'1.PropertyValue'!$B9)*'3.SaleLeasbak'!I36</f>
        <v>2.7461538461538457</v>
      </c>
      <c r="J37" s="13">
        <f>(1-'1.PropertyValue'!$B9)*'3.SaleLeasbak'!J36</f>
        <v>2.7461538461538457</v>
      </c>
      <c r="K37" s="13">
        <f>(1-'1.PropertyValue'!$B9)*'3.SaleLeasbak'!K36</f>
        <v>2.7461538461538457</v>
      </c>
      <c r="L37" s="13">
        <f>(1-'1.PropertyValue'!$B9)*'3.SaleLeasbak'!L36</f>
        <v>-16.869230769230768</v>
      </c>
      <c r="M37" s="1">
        <f>10*K35*('1.PropertyValue'!B8)*(1-'1.PropertyValue'!B9)</f>
        <v>19.615384615384613</v>
      </c>
      <c r="N37" s="1">
        <f>K37-M37</f>
        <v>-16.869230769230768</v>
      </c>
      <c r="O37" s="1">
        <f>(1-'1.PropertyValue'!B9)*'3.SaleLeasbak'!M36</f>
        <v>19.615384615384613</v>
      </c>
      <c r="V37"/>
      <c r="W37"/>
    </row>
    <row r="38" spans="1:23" ht="12.75">
      <c r="A38" s="3" t="s">
        <v>26</v>
      </c>
      <c r="C38" s="13"/>
      <c r="D38" s="13"/>
      <c r="E38" s="13"/>
      <c r="F38" s="13"/>
      <c r="G38" s="13"/>
      <c r="H38" s="13"/>
      <c r="I38" s="13"/>
      <c r="J38" s="13"/>
      <c r="K38" s="13"/>
      <c r="L38" s="13">
        <f>'1.PropertyValue'!L24</f>
        <v>1200</v>
      </c>
      <c r="V38"/>
      <c r="W38"/>
    </row>
    <row r="39" spans="1:23" ht="12.75">
      <c r="A39" s="1" t="s">
        <v>27</v>
      </c>
      <c r="C39" s="13"/>
      <c r="D39" s="13"/>
      <c r="E39" s="13"/>
      <c r="F39" s="13"/>
      <c r="G39" s="13"/>
      <c r="H39" s="13"/>
      <c r="I39" s="13"/>
      <c r="J39" s="13"/>
      <c r="K39" s="13"/>
      <c r="L39" s="13">
        <f>'1.PropertyValue'!B9*MAX(0,(L38-B8*'1.PropertyValue'!B12/'1.PropertyValue'!B17))</f>
        <v>108</v>
      </c>
      <c r="V39"/>
      <c r="W39"/>
    </row>
    <row r="40" spans="1:23" ht="12.75">
      <c r="A40" s="1" t="s">
        <v>28</v>
      </c>
      <c r="C40" s="13"/>
      <c r="D40" s="13"/>
      <c r="E40" s="13"/>
      <c r="F40" s="13"/>
      <c r="G40" s="13"/>
      <c r="H40" s="13"/>
      <c r="I40" s="13"/>
      <c r="J40" s="13"/>
      <c r="K40" s="13"/>
      <c r="L40" s="13">
        <f>L38-L39</f>
        <v>1092</v>
      </c>
      <c r="M40" s="50" t="s">
        <v>142</v>
      </c>
      <c r="V40"/>
      <c r="W40"/>
    </row>
    <row r="41" spans="1:23" ht="12.75">
      <c r="A41" s="1" t="s">
        <v>131</v>
      </c>
      <c r="C41" s="13"/>
      <c r="D41" s="13"/>
      <c r="E41" s="13"/>
      <c r="F41" s="13"/>
      <c r="G41" s="13"/>
      <c r="H41" s="13"/>
      <c r="I41" s="13"/>
      <c r="J41" s="13"/>
      <c r="K41" s="13"/>
      <c r="L41" s="13">
        <f>L40-MAX(0,L40-'1.PropertyValue'!B12/'1.PropertyValue'!B17)*'1.PropertyValue'!B9</f>
        <v>1092</v>
      </c>
      <c r="M41" s="50" t="s">
        <v>144</v>
      </c>
      <c r="V41"/>
      <c r="W41"/>
    </row>
    <row r="42" spans="1:23" ht="12.75">
      <c r="A42" s="4" t="s">
        <v>123</v>
      </c>
      <c r="B42" s="17">
        <f>B34+NPV('1.PropertyValue'!B16,'3.SaleLeasbak'!C37:L37)+PV('1.PropertyValue'!B34,10,0,-L41)</f>
        <v>-475.3702722678702</v>
      </c>
      <c r="C42" s="13"/>
      <c r="D42" s="13"/>
      <c r="E42" s="13"/>
      <c r="F42" s="13"/>
      <c r="G42" s="13"/>
      <c r="H42" s="13"/>
      <c r="I42" s="13"/>
      <c r="J42" s="13"/>
      <c r="K42" s="13"/>
      <c r="L42" s="13"/>
      <c r="V42"/>
      <c r="W42"/>
    </row>
    <row r="43" spans="1:12" ht="12.75">
      <c r="A43" s="4"/>
      <c r="C43" s="13"/>
      <c r="D43" s="13"/>
      <c r="E43" s="13"/>
      <c r="F43" s="13"/>
      <c r="G43" s="13"/>
      <c r="H43" s="13"/>
      <c r="I43" s="13"/>
      <c r="J43" s="13"/>
      <c r="K43" s="13"/>
      <c r="L43" s="13"/>
    </row>
    <row r="44" spans="1:12" ht="12.75">
      <c r="A44" s="11" t="s">
        <v>127</v>
      </c>
      <c r="B44" s="18">
        <f>B29-B42</f>
        <v>81.91036091106696</v>
      </c>
      <c r="C44" s="20"/>
      <c r="D44" s="13"/>
      <c r="E44" s="13"/>
      <c r="F44" s="13"/>
      <c r="G44" s="13"/>
      <c r="H44" s="13"/>
      <c r="I44" s="13"/>
      <c r="J44" s="13"/>
      <c r="K44" s="13"/>
      <c r="L44" s="13"/>
    </row>
    <row r="45" spans="3:12" ht="12.75">
      <c r="C45" s="13"/>
      <c r="D45" s="13"/>
      <c r="E45" s="13"/>
      <c r="F45" s="13"/>
      <c r="G45" s="13"/>
      <c r="H45" s="13"/>
      <c r="I45" s="13"/>
      <c r="J45" s="13"/>
      <c r="K45" s="13"/>
      <c r="L45" s="13"/>
    </row>
    <row r="46" ht="12.75">
      <c r="B46" s="1"/>
    </row>
    <row r="47" ht="12.75">
      <c r="B47" s="1"/>
    </row>
    <row r="48" ht="12.75">
      <c r="B48" s="1"/>
    </row>
    <row r="49" ht="12.75">
      <c r="B49" s="1"/>
    </row>
    <row r="50" ht="12.75">
      <c r="B50" s="1"/>
    </row>
    <row r="51" ht="12.75">
      <c r="B51" s="1"/>
    </row>
    <row r="52" ht="12.75">
      <c r="B52" s="1"/>
    </row>
    <row r="53" ht="12.75">
      <c r="B53" s="1"/>
    </row>
    <row r="54" ht="12.75">
      <c r="B54" s="1"/>
    </row>
    <row r="55" ht="12.75">
      <c r="B55" s="1"/>
    </row>
    <row r="56" spans="3:12" ht="12.75">
      <c r="C56" s="13"/>
      <c r="D56" s="13"/>
      <c r="E56" s="13"/>
      <c r="F56" s="13"/>
      <c r="G56" s="13"/>
      <c r="H56" s="13"/>
      <c r="I56" s="13"/>
      <c r="J56" s="13"/>
      <c r="K56" s="13"/>
      <c r="L56" s="13"/>
    </row>
  </sheetData>
  <sheetProtection/>
  <printOptions gridLines="1"/>
  <pageMargins left="0.75" right="0.75" top="1" bottom="1" header="0.5" footer="0.5"/>
  <pageSetup fitToHeight="1" fitToWidth="1" horizontalDpi="300" verticalDpi="300" orientation="landscape" scale="54" r:id="rId1"/>
  <headerFooter alignWithMargins="0">
    <oddFooter>&amp;LDavid Geltner&amp;CPage &amp;P&amp;R&amp;D</oddFooter>
  </headerFooter>
</worksheet>
</file>

<file path=xl/worksheets/sheet5.xml><?xml version="1.0" encoding="utf-8"?>
<worksheet xmlns="http://schemas.openxmlformats.org/spreadsheetml/2006/main" xmlns:r="http://schemas.openxmlformats.org/officeDocument/2006/relationships">
  <dimension ref="A1:W67"/>
  <sheetViews>
    <sheetView zoomScalePageLayoutView="0" workbookViewId="0" topLeftCell="A1">
      <selection activeCell="A1" sqref="A1"/>
    </sheetView>
  </sheetViews>
  <sheetFormatPr defaultColWidth="9.140625" defaultRowHeight="12.75"/>
  <cols>
    <col min="1" max="1" width="54.421875" style="1" customWidth="1"/>
    <col min="2" max="2" width="9.57421875" style="17" customWidth="1"/>
    <col min="3" max="11" width="9.140625" style="1" customWidth="1"/>
    <col min="12" max="12" width="10.140625" style="1" customWidth="1"/>
    <col min="13" max="16384" width="9.140625" style="1" customWidth="1"/>
  </cols>
  <sheetData>
    <row r="1" spans="1:23" ht="12.75">
      <c r="A1" s="5" t="s">
        <v>105</v>
      </c>
      <c r="V1"/>
      <c r="W1"/>
    </row>
    <row r="2" spans="1:23" ht="12.75">
      <c r="A2" s="12" t="s">
        <v>69</v>
      </c>
      <c r="V2"/>
      <c r="W2"/>
    </row>
    <row r="3" spans="2:23" ht="12.75">
      <c r="B3" s="28" t="s">
        <v>72</v>
      </c>
      <c r="C3" s="29" t="s">
        <v>73</v>
      </c>
      <c r="V3"/>
      <c r="W3"/>
    </row>
    <row r="4" spans="1:23" ht="12.75">
      <c r="A4" s="4" t="s">
        <v>74</v>
      </c>
      <c r="B4" s="22">
        <v>0.75</v>
      </c>
      <c r="C4" s="6">
        <f>'1.PropertyValue'!B15</f>
        <v>0.06</v>
      </c>
      <c r="V4"/>
      <c r="W4"/>
    </row>
    <row r="5" spans="1:23" ht="12.75">
      <c r="A5" s="10" t="s">
        <v>10</v>
      </c>
      <c r="B5" s="6"/>
      <c r="V5"/>
      <c r="W5"/>
    </row>
    <row r="6" spans="1:23" ht="12.75">
      <c r="A6" s="3" t="s">
        <v>12</v>
      </c>
      <c r="B6" s="6">
        <f>'2.Buy_vs_Lease'!B6</f>
        <v>0.35</v>
      </c>
      <c r="N6" s="2"/>
      <c r="O6" s="2"/>
      <c r="P6" s="2"/>
      <c r="Q6" s="2"/>
      <c r="R6" s="2"/>
      <c r="S6" s="2"/>
      <c r="T6" s="2"/>
      <c r="U6" s="2"/>
      <c r="V6"/>
      <c r="W6"/>
    </row>
    <row r="7" spans="1:23" ht="12.75">
      <c r="A7" s="10" t="s">
        <v>14</v>
      </c>
      <c r="C7" s="2"/>
      <c r="D7" s="2"/>
      <c r="E7" s="2"/>
      <c r="F7" s="2"/>
      <c r="G7" s="2"/>
      <c r="H7" s="2"/>
      <c r="I7" s="2"/>
      <c r="J7" s="2"/>
      <c r="K7" s="2"/>
      <c r="L7" s="2"/>
      <c r="M7" s="2"/>
      <c r="N7" s="2"/>
      <c r="O7" s="2"/>
      <c r="P7" s="2"/>
      <c r="Q7" s="2"/>
      <c r="R7" s="2"/>
      <c r="S7" s="2"/>
      <c r="T7" s="2"/>
      <c r="U7" s="2"/>
      <c r="V7"/>
      <c r="W7"/>
    </row>
    <row r="8" spans="1:23" ht="12.75">
      <c r="A8" s="1" t="s">
        <v>5</v>
      </c>
      <c r="B8" s="16">
        <v>0</v>
      </c>
      <c r="C8" s="2">
        <v>1</v>
      </c>
      <c r="D8" s="2">
        <v>2</v>
      </c>
      <c r="E8" s="2">
        <v>3</v>
      </c>
      <c r="F8" s="2">
        <v>4</v>
      </c>
      <c r="G8" s="2">
        <v>5</v>
      </c>
      <c r="H8" s="2">
        <v>6</v>
      </c>
      <c r="I8" s="2">
        <v>7</v>
      </c>
      <c r="J8" s="2">
        <v>8</v>
      </c>
      <c r="K8" s="2">
        <v>9</v>
      </c>
      <c r="L8" s="2">
        <v>10</v>
      </c>
      <c r="M8" s="2">
        <v>11</v>
      </c>
      <c r="N8" s="2"/>
      <c r="O8" s="2"/>
      <c r="P8" s="2"/>
      <c r="Q8" s="2"/>
      <c r="R8" s="2"/>
      <c r="S8" s="2"/>
      <c r="T8" s="2"/>
      <c r="U8" s="2"/>
      <c r="V8"/>
      <c r="W8"/>
    </row>
    <row r="9" spans="1:23" ht="12.75">
      <c r="A9" s="5" t="s">
        <v>84</v>
      </c>
      <c r="C9" s="13"/>
      <c r="D9" s="13"/>
      <c r="E9" s="13"/>
      <c r="F9" s="13"/>
      <c r="G9" s="13"/>
      <c r="H9" s="13"/>
      <c r="I9" s="13"/>
      <c r="J9" s="13"/>
      <c r="K9" s="13"/>
      <c r="L9" s="13"/>
      <c r="M9" s="2"/>
      <c r="N9" s="2"/>
      <c r="O9" s="2"/>
      <c r="P9" s="2"/>
      <c r="Q9" s="2"/>
      <c r="R9" s="2"/>
      <c r="S9" s="2"/>
      <c r="T9" s="2"/>
      <c r="U9" s="2"/>
      <c r="V9"/>
      <c r="W9"/>
    </row>
    <row r="10" spans="1:23" ht="12.75">
      <c r="A10" s="4" t="s">
        <v>58</v>
      </c>
      <c r="B10" s="17">
        <f>-'1.PropertyValue'!B12/'1.PropertyValue'!B17</f>
        <v>-1200</v>
      </c>
      <c r="C10" s="13"/>
      <c r="D10" s="13"/>
      <c r="E10" s="13"/>
      <c r="F10" s="13"/>
      <c r="G10" s="13"/>
      <c r="H10" s="13"/>
      <c r="I10" s="13"/>
      <c r="J10" s="13"/>
      <c r="K10" s="13"/>
      <c r="L10" s="13"/>
      <c r="M10" s="2"/>
      <c r="N10" s="2"/>
      <c r="O10" s="2"/>
      <c r="P10" s="2"/>
      <c r="Q10" s="2"/>
      <c r="R10" s="2"/>
      <c r="S10" s="2"/>
      <c r="T10" s="2"/>
      <c r="U10" s="2"/>
      <c r="V10"/>
      <c r="W10"/>
    </row>
    <row r="11" spans="1:23" ht="12.75">
      <c r="A11" s="1" t="s">
        <v>16</v>
      </c>
      <c r="C11" s="13">
        <f>$B6*'1.PropertyValue'!C$22</f>
        <v>8.076923076923077</v>
      </c>
      <c r="D11" s="13">
        <f>$B6*'1.PropertyValue'!D22</f>
        <v>8.076923076923077</v>
      </c>
      <c r="E11" s="13">
        <f>$B6*'1.PropertyValue'!E22</f>
        <v>8.076923076923077</v>
      </c>
      <c r="F11" s="13">
        <f>$B6*'1.PropertyValue'!F22</f>
        <v>8.076923076923077</v>
      </c>
      <c r="G11" s="13">
        <f>$B6*'1.PropertyValue'!G22</f>
        <v>8.076923076923077</v>
      </c>
      <c r="H11" s="13">
        <f>$B6*'1.PropertyValue'!H22</f>
        <v>8.076923076923077</v>
      </c>
      <c r="I11" s="13">
        <f>$B6*'1.PropertyValue'!I22</f>
        <v>8.076923076923077</v>
      </c>
      <c r="J11" s="13">
        <f>$B6*'1.PropertyValue'!J22</f>
        <v>8.076923076923077</v>
      </c>
      <c r="K11" s="13">
        <f>$B6*'1.PropertyValue'!K22</f>
        <v>8.076923076923077</v>
      </c>
      <c r="L11" s="13">
        <f>$B6*'1.PropertyValue'!K22-10*'1.PropertyValue'!K22*'1.PropertyValue'!B8</f>
        <v>-49.61538461538461</v>
      </c>
      <c r="M11" s="37" t="s">
        <v>140</v>
      </c>
      <c r="N11" s="2"/>
      <c r="O11" s="2"/>
      <c r="P11" s="2"/>
      <c r="Q11" s="2"/>
      <c r="R11" s="2"/>
      <c r="S11" s="2"/>
      <c r="T11" s="2"/>
      <c r="U11" s="2"/>
      <c r="V11"/>
      <c r="W11"/>
    </row>
    <row r="12" spans="1:23" ht="12.75">
      <c r="A12" s="1" t="s">
        <v>17</v>
      </c>
      <c r="C12" s="13">
        <f>'1.PropertyValue'!C$21</f>
        <v>90</v>
      </c>
      <c r="D12" s="13">
        <f>'1.PropertyValue'!D21</f>
        <v>90</v>
      </c>
      <c r="E12" s="13">
        <f>'1.PropertyValue'!E21</f>
        <v>90</v>
      </c>
      <c r="F12" s="13">
        <f>'1.PropertyValue'!F21</f>
        <v>90</v>
      </c>
      <c r="G12" s="13">
        <f>'1.PropertyValue'!G21</f>
        <v>90</v>
      </c>
      <c r="H12" s="13">
        <f>'1.PropertyValue'!H21</f>
        <v>90</v>
      </c>
      <c r="I12" s="13">
        <f>'1.PropertyValue'!I21</f>
        <v>90</v>
      </c>
      <c r="J12" s="13">
        <f>'1.PropertyValue'!J21</f>
        <v>90</v>
      </c>
      <c r="K12" s="13">
        <f>'1.PropertyValue'!K21</f>
        <v>90</v>
      </c>
      <c r="L12" s="13">
        <f>'1.PropertyValue'!L21</f>
        <v>90</v>
      </c>
      <c r="M12" s="2"/>
      <c r="N12" s="2"/>
      <c r="O12" s="2"/>
      <c r="P12" s="2"/>
      <c r="Q12" s="2"/>
      <c r="R12" s="2"/>
      <c r="S12" s="2"/>
      <c r="T12" s="2"/>
      <c r="U12" s="2"/>
      <c r="V12"/>
      <c r="W12"/>
    </row>
    <row r="13" spans="1:23" ht="12.75">
      <c r="A13" s="1" t="s">
        <v>18</v>
      </c>
      <c r="C13" s="13">
        <f>-$B$6*'1.PropertyValue'!C$21</f>
        <v>-31.499999999999996</v>
      </c>
      <c r="D13" s="13">
        <f>-$B6*'1.PropertyValue'!D21</f>
        <v>-31.499999999999996</v>
      </c>
      <c r="E13" s="13">
        <f>-$B6*'1.PropertyValue'!E21</f>
        <v>-31.499999999999996</v>
      </c>
      <c r="F13" s="13">
        <f>-$B6*'1.PropertyValue'!F21</f>
        <v>-31.499999999999996</v>
      </c>
      <c r="G13" s="13">
        <f>-$B6*'1.PropertyValue'!G21</f>
        <v>-31.499999999999996</v>
      </c>
      <c r="H13" s="13">
        <f>-$B6*'1.PropertyValue'!H21</f>
        <v>-31.499999999999996</v>
      </c>
      <c r="I13" s="13">
        <f>-$B6*'1.PropertyValue'!I21</f>
        <v>-31.499999999999996</v>
      </c>
      <c r="J13" s="13">
        <f>-$B6*'1.PropertyValue'!J21</f>
        <v>-31.499999999999996</v>
      </c>
      <c r="K13" s="13">
        <f>-$B6*'1.PropertyValue'!K21</f>
        <v>-31.499999999999996</v>
      </c>
      <c r="L13" s="13">
        <f>-$B6*'1.PropertyValue'!L21</f>
        <v>-31.499999999999996</v>
      </c>
      <c r="M13" s="2"/>
      <c r="N13" s="2"/>
      <c r="O13" s="2"/>
      <c r="P13" s="2"/>
      <c r="Q13" s="2"/>
      <c r="R13" s="2"/>
      <c r="S13" s="2"/>
      <c r="T13" s="2"/>
      <c r="U13" s="2"/>
      <c r="V13"/>
      <c r="W13"/>
    </row>
    <row r="14" spans="1:23" ht="12.75">
      <c r="A14" s="1" t="s">
        <v>56</v>
      </c>
      <c r="C14" s="13">
        <f aca="true" t="shared" si="0" ref="C14:L14">SUM(C11:C13)</f>
        <v>66.57692307692308</v>
      </c>
      <c r="D14" s="13">
        <f t="shared" si="0"/>
        <v>66.57692307692308</v>
      </c>
      <c r="E14" s="13">
        <f t="shared" si="0"/>
        <v>66.57692307692308</v>
      </c>
      <c r="F14" s="13">
        <f t="shared" si="0"/>
        <v>66.57692307692308</v>
      </c>
      <c r="G14" s="13">
        <f t="shared" si="0"/>
        <v>66.57692307692308</v>
      </c>
      <c r="H14" s="13">
        <f t="shared" si="0"/>
        <v>66.57692307692308</v>
      </c>
      <c r="I14" s="13">
        <f t="shared" si="0"/>
        <v>66.57692307692308</v>
      </c>
      <c r="J14" s="13">
        <f t="shared" si="0"/>
        <v>66.57692307692308</v>
      </c>
      <c r="K14" s="13">
        <f t="shared" si="0"/>
        <v>66.57692307692308</v>
      </c>
      <c r="L14" s="13">
        <f t="shared" si="0"/>
        <v>8.88461538461539</v>
      </c>
      <c r="M14" s="2"/>
      <c r="N14" s="2"/>
      <c r="O14" s="2"/>
      <c r="P14" s="2"/>
      <c r="Q14" s="2"/>
      <c r="R14" s="2"/>
      <c r="S14" s="2"/>
      <c r="T14" s="2"/>
      <c r="U14" s="2"/>
      <c r="V14"/>
      <c r="W14"/>
    </row>
    <row r="15" spans="1:23" ht="12.75">
      <c r="A15" s="1" t="s">
        <v>57</v>
      </c>
      <c r="B15" s="17">
        <f>NPV('1.PropertyValue'!B$16,C15:L15)</f>
        <v>416.2065421270286</v>
      </c>
      <c r="C15" s="13">
        <f>(1-'1.PropertyValue'!$B$9)*C14</f>
        <v>56.590384615384615</v>
      </c>
      <c r="D15" s="13">
        <f>(1-'1.PropertyValue'!$B9)*D14</f>
        <v>56.590384615384615</v>
      </c>
      <c r="E15" s="13">
        <f>(1-'1.PropertyValue'!$B9)*E14</f>
        <v>56.590384615384615</v>
      </c>
      <c r="F15" s="13">
        <f>(1-'1.PropertyValue'!$B9)*F14</f>
        <v>56.590384615384615</v>
      </c>
      <c r="G15" s="13">
        <f>(1-'1.PropertyValue'!$B9)*G14</f>
        <v>56.590384615384615</v>
      </c>
      <c r="H15" s="13">
        <f>(1-'1.PropertyValue'!$B9)*H14</f>
        <v>56.590384615384615</v>
      </c>
      <c r="I15" s="13">
        <f>(1-'1.PropertyValue'!$B9)*I14</f>
        <v>56.590384615384615</v>
      </c>
      <c r="J15" s="13">
        <f>(1-'1.PropertyValue'!$B9)*J14</f>
        <v>56.590384615384615</v>
      </c>
      <c r="K15" s="13">
        <f>(1-'1.PropertyValue'!$B9)*K14</f>
        <v>56.590384615384615</v>
      </c>
      <c r="L15" s="13">
        <f>(1-'1.PropertyValue'!$B9)*L14</f>
        <v>7.551923076923082</v>
      </c>
      <c r="M15" s="2"/>
      <c r="N15" s="2"/>
      <c r="O15" s="2"/>
      <c r="P15" s="2"/>
      <c r="Q15" s="2"/>
      <c r="R15" s="2"/>
      <c r="S15" s="2"/>
      <c r="T15" s="2"/>
      <c r="U15" s="2"/>
      <c r="V15"/>
      <c r="W15"/>
    </row>
    <row r="16" spans="1:23" ht="12.75">
      <c r="A16" s="15" t="s">
        <v>90</v>
      </c>
      <c r="B16" s="17">
        <f>-PV('1.PropertyValue'!B34,L8,0,L16)</f>
        <v>667.6165664000437</v>
      </c>
      <c r="C16" s="49" t="s">
        <v>138</v>
      </c>
      <c r="D16" s="13"/>
      <c r="E16" s="13"/>
      <c r="F16" s="13"/>
      <c r="G16" s="13"/>
      <c r="H16" s="13"/>
      <c r="I16" s="13"/>
      <c r="J16" s="13"/>
      <c r="K16" s="13"/>
      <c r="L16" s="13">
        <f>L$44-MAX(0,(L$44+B$10))*'1.PropertyValue'!B$9</f>
        <v>1200</v>
      </c>
      <c r="M16" s="37" t="s">
        <v>139</v>
      </c>
      <c r="N16" s="2"/>
      <c r="O16" s="2"/>
      <c r="P16" s="2"/>
      <c r="Q16" s="2"/>
      <c r="R16" s="2"/>
      <c r="S16" s="2"/>
      <c r="T16" s="2"/>
      <c r="U16" s="2"/>
      <c r="V16"/>
      <c r="W16"/>
    </row>
    <row r="17" spans="1:23" ht="12.75">
      <c r="A17" s="5" t="s">
        <v>82</v>
      </c>
      <c r="B17" s="18">
        <f>SUM(B15:B16)+B10</f>
        <v>-116.17689147292776</v>
      </c>
      <c r="M17" s="2"/>
      <c r="N17" s="2"/>
      <c r="O17" s="2"/>
      <c r="P17" s="2"/>
      <c r="Q17" s="2"/>
      <c r="R17" s="2"/>
      <c r="S17" s="2"/>
      <c r="T17" s="2"/>
      <c r="U17" s="2"/>
      <c r="V17"/>
      <c r="W17"/>
    </row>
    <row r="18" spans="1:23" ht="12.75">
      <c r="A18" s="11" t="s">
        <v>70</v>
      </c>
      <c r="B18" s="18"/>
      <c r="M18" s="2"/>
      <c r="N18" s="2"/>
      <c r="O18" s="2"/>
      <c r="P18" s="2"/>
      <c r="Q18" s="2"/>
      <c r="R18" s="2"/>
      <c r="S18" s="2"/>
      <c r="T18" s="2"/>
      <c r="U18" s="2"/>
      <c r="V18"/>
      <c r="W18"/>
    </row>
    <row r="19" spans="1:23" s="25" customFormat="1" ht="12.75">
      <c r="A19" s="12" t="s">
        <v>76</v>
      </c>
      <c r="B19" s="23">
        <f>-B4*B10</f>
        <v>900</v>
      </c>
      <c r="M19" s="26"/>
      <c r="N19" s="26"/>
      <c r="O19" s="26"/>
      <c r="P19" s="26"/>
      <c r="Q19" s="26"/>
      <c r="R19" s="26"/>
      <c r="S19" s="26"/>
      <c r="T19" s="26"/>
      <c r="U19" s="26"/>
      <c r="V19" s="27"/>
      <c r="W19" s="27"/>
    </row>
    <row r="20" spans="1:12" s="13" customFormat="1" ht="12.75">
      <c r="A20" s="13" t="s">
        <v>71</v>
      </c>
      <c r="B20" s="34"/>
      <c r="C20" s="33">
        <f aca="true" t="shared" si="1" ref="C20:K20">-$C4*$B19</f>
        <v>-54</v>
      </c>
      <c r="D20" s="33">
        <f t="shared" si="1"/>
        <v>-54</v>
      </c>
      <c r="E20" s="33">
        <f t="shared" si="1"/>
        <v>-54</v>
      </c>
      <c r="F20" s="33">
        <f t="shared" si="1"/>
        <v>-54</v>
      </c>
      <c r="G20" s="33">
        <f t="shared" si="1"/>
        <v>-54</v>
      </c>
      <c r="H20" s="33">
        <f t="shared" si="1"/>
        <v>-54</v>
      </c>
      <c r="I20" s="33">
        <f t="shared" si="1"/>
        <v>-54</v>
      </c>
      <c r="J20" s="33">
        <f t="shared" si="1"/>
        <v>-54</v>
      </c>
      <c r="K20" s="33">
        <f t="shared" si="1"/>
        <v>-54</v>
      </c>
      <c r="L20" s="33">
        <f>-$C4*$B19-B19</f>
        <v>-954</v>
      </c>
    </row>
    <row r="21" spans="1:12" s="13" customFormat="1" ht="12.75">
      <c r="A21" s="32" t="s">
        <v>75</v>
      </c>
      <c r="B21" s="34"/>
      <c r="C21" s="13">
        <f>(1-$B6)*C20</f>
        <v>-35.1</v>
      </c>
      <c r="D21" s="13">
        <f>C21</f>
        <v>-35.1</v>
      </c>
      <c r="E21" s="13">
        <f aca="true" t="shared" si="2" ref="E21:K21">D21</f>
        <v>-35.1</v>
      </c>
      <c r="F21" s="13">
        <f t="shared" si="2"/>
        <v>-35.1</v>
      </c>
      <c r="G21" s="13">
        <f t="shared" si="2"/>
        <v>-35.1</v>
      </c>
      <c r="H21" s="13">
        <f t="shared" si="2"/>
        <v>-35.1</v>
      </c>
      <c r="I21" s="13">
        <f t="shared" si="2"/>
        <v>-35.1</v>
      </c>
      <c r="J21" s="13">
        <f t="shared" si="2"/>
        <v>-35.1</v>
      </c>
      <c r="K21" s="13">
        <f t="shared" si="2"/>
        <v>-35.1</v>
      </c>
      <c r="L21" s="13">
        <f>K21-B19</f>
        <v>-935.1</v>
      </c>
    </row>
    <row r="22" spans="1:12" s="13" customFormat="1" ht="12.75">
      <c r="A22" s="32" t="s">
        <v>78</v>
      </c>
      <c r="B22" s="34"/>
      <c r="C22" s="13">
        <f>(1-'1.PropertyValue'!$B9)*C21</f>
        <v>-29.835</v>
      </c>
      <c r="D22" s="13">
        <f>C22</f>
        <v>-29.835</v>
      </c>
      <c r="E22" s="13">
        <f aca="true" t="shared" si="3" ref="E22:K22">D22</f>
        <v>-29.835</v>
      </c>
      <c r="F22" s="13">
        <f t="shared" si="3"/>
        <v>-29.835</v>
      </c>
      <c r="G22" s="13">
        <f t="shared" si="3"/>
        <v>-29.835</v>
      </c>
      <c r="H22" s="13">
        <f t="shared" si="3"/>
        <v>-29.835</v>
      </c>
      <c r="I22" s="13">
        <f t="shared" si="3"/>
        <v>-29.835</v>
      </c>
      <c r="J22" s="13">
        <f t="shared" si="3"/>
        <v>-29.835</v>
      </c>
      <c r="K22" s="13">
        <f t="shared" si="3"/>
        <v>-29.835</v>
      </c>
      <c r="L22" s="13">
        <f>K22-B19</f>
        <v>-929.835</v>
      </c>
    </row>
    <row r="23" spans="1:23" s="25" customFormat="1" ht="12.75">
      <c r="A23" s="30" t="s">
        <v>79</v>
      </c>
      <c r="B23" s="31">
        <f>B19+NPV((1-'1.PropertyValue'!B7)*C4,C22:L22)</f>
        <v>84.38913935887945</v>
      </c>
      <c r="M23" s="26"/>
      <c r="N23" s="26"/>
      <c r="O23" s="26"/>
      <c r="P23" s="26"/>
      <c r="Q23" s="26"/>
      <c r="R23" s="26"/>
      <c r="S23" s="26"/>
      <c r="T23" s="26"/>
      <c r="U23" s="26"/>
      <c r="V23" s="27"/>
      <c r="W23" s="27"/>
    </row>
    <row r="24" spans="1:23" s="25" customFormat="1" ht="12.75">
      <c r="A24" s="21" t="s">
        <v>83</v>
      </c>
      <c r="B24" s="24">
        <f>B17+B23</f>
        <v>-31.787752114048317</v>
      </c>
      <c r="M24" s="26"/>
      <c r="N24" s="26"/>
      <c r="O24" s="26"/>
      <c r="P24" s="26"/>
      <c r="Q24" s="26"/>
      <c r="R24" s="26"/>
      <c r="S24" s="26"/>
      <c r="T24" s="26"/>
      <c r="U24" s="26"/>
      <c r="V24" s="27"/>
      <c r="W24" s="27"/>
    </row>
    <row r="25" spans="1:23" s="25" customFormat="1" ht="12.75">
      <c r="A25" s="21" t="s">
        <v>85</v>
      </c>
      <c r="B25" s="24"/>
      <c r="M25" s="26"/>
      <c r="N25" s="26"/>
      <c r="O25" s="26"/>
      <c r="P25" s="26"/>
      <c r="Q25" s="26"/>
      <c r="R25" s="26"/>
      <c r="S25" s="26"/>
      <c r="T25" s="26"/>
      <c r="U25" s="26"/>
      <c r="V25" s="27"/>
      <c r="W25" s="27"/>
    </row>
    <row r="26" spans="1:23" s="25" customFormat="1" ht="12.75">
      <c r="A26" s="12" t="s">
        <v>86</v>
      </c>
      <c r="B26" s="23">
        <f>-B10-B19</f>
        <v>300</v>
      </c>
      <c r="M26" s="26"/>
      <c r="N26" s="26"/>
      <c r="O26" s="26"/>
      <c r="P26" s="26"/>
      <c r="Q26" s="26"/>
      <c r="R26" s="26"/>
      <c r="S26" s="26"/>
      <c r="T26" s="26"/>
      <c r="U26" s="26"/>
      <c r="V26" s="27"/>
      <c r="W26" s="27"/>
    </row>
    <row r="27" spans="1:23" s="25" customFormat="1" ht="12.75">
      <c r="A27" s="1" t="s">
        <v>16</v>
      </c>
      <c r="B27" s="23"/>
      <c r="C27" s="13">
        <f>$B6*'1.PropertyValue'!C$22</f>
        <v>8.076923076923077</v>
      </c>
      <c r="D27" s="13">
        <f>$B6*'1.PropertyValue'!D$22</f>
        <v>8.076923076923077</v>
      </c>
      <c r="E27" s="13">
        <f>$B6*'1.PropertyValue'!E$22</f>
        <v>8.076923076923077</v>
      </c>
      <c r="F27" s="13">
        <f>$B6*'1.PropertyValue'!F$22</f>
        <v>8.076923076923077</v>
      </c>
      <c r="G27" s="13">
        <f>$B6*'1.PropertyValue'!G$22</f>
        <v>8.076923076923077</v>
      </c>
      <c r="H27" s="13">
        <f>$B6*'1.PropertyValue'!H$22</f>
        <v>8.076923076923077</v>
      </c>
      <c r="I27" s="13">
        <f>$B6*'1.PropertyValue'!I$22</f>
        <v>8.076923076923077</v>
      </c>
      <c r="J27" s="13">
        <f>$B6*'1.PropertyValue'!J$22</f>
        <v>8.076923076923077</v>
      </c>
      <c r="K27" s="13">
        <f>$B6*'1.PropertyValue'!K$22</f>
        <v>8.076923076923077</v>
      </c>
      <c r="L27" s="13">
        <f>$B6*'1.PropertyValue'!K$22-10*'1.PropertyValue'!K22*'1.PropertyValue'!B8</f>
        <v>-49.61538461538461</v>
      </c>
      <c r="M27" s="26"/>
      <c r="N27" s="26"/>
      <c r="O27" s="26"/>
      <c r="P27" s="26"/>
      <c r="Q27" s="26"/>
      <c r="R27" s="26"/>
      <c r="S27" s="26"/>
      <c r="T27" s="26"/>
      <c r="U27" s="26"/>
      <c r="V27" s="27"/>
      <c r="W27" s="27"/>
    </row>
    <row r="28" spans="1:23" s="25" customFormat="1" ht="12.75">
      <c r="A28" s="1" t="s">
        <v>17</v>
      </c>
      <c r="B28" s="23"/>
      <c r="C28" s="13">
        <f>'1.PropertyValue'!C$21</f>
        <v>90</v>
      </c>
      <c r="D28" s="13">
        <f>'1.PropertyValue'!D$21</f>
        <v>90</v>
      </c>
      <c r="E28" s="13">
        <f>'1.PropertyValue'!E$21</f>
        <v>90</v>
      </c>
      <c r="F28" s="13">
        <f>'1.PropertyValue'!F$21</f>
        <v>90</v>
      </c>
      <c r="G28" s="13">
        <f>'1.PropertyValue'!G$21</f>
        <v>90</v>
      </c>
      <c r="H28" s="13">
        <f>'1.PropertyValue'!H$21</f>
        <v>90</v>
      </c>
      <c r="I28" s="13">
        <f>'1.PropertyValue'!I$21</f>
        <v>90</v>
      </c>
      <c r="J28" s="13">
        <f>'1.PropertyValue'!J$21</f>
        <v>90</v>
      </c>
      <c r="K28" s="13">
        <f>'1.PropertyValue'!K$21</f>
        <v>90</v>
      </c>
      <c r="L28" s="13">
        <f>'1.PropertyValue'!L$21</f>
        <v>90</v>
      </c>
      <c r="M28" s="26"/>
      <c r="N28" s="26"/>
      <c r="O28" s="26"/>
      <c r="P28" s="26"/>
      <c r="Q28" s="26"/>
      <c r="R28" s="26"/>
      <c r="S28" s="26"/>
      <c r="T28" s="26"/>
      <c r="U28" s="26"/>
      <c r="V28" s="27"/>
      <c r="W28" s="27"/>
    </row>
    <row r="29" spans="1:12" s="33" customFormat="1" ht="12.75">
      <c r="A29" s="32" t="s">
        <v>87</v>
      </c>
      <c r="C29" s="33">
        <f>C20</f>
        <v>-54</v>
      </c>
      <c r="D29" s="33">
        <f>C29</f>
        <v>-54</v>
      </c>
      <c r="E29" s="33">
        <f aca="true" t="shared" si="4" ref="E29:L29">D29</f>
        <v>-54</v>
      </c>
      <c r="F29" s="33">
        <f t="shared" si="4"/>
        <v>-54</v>
      </c>
      <c r="G29" s="33">
        <f t="shared" si="4"/>
        <v>-54</v>
      </c>
      <c r="H29" s="33">
        <f t="shared" si="4"/>
        <v>-54</v>
      </c>
      <c r="I29" s="33">
        <f t="shared" si="4"/>
        <v>-54</v>
      </c>
      <c r="J29" s="33">
        <f t="shared" si="4"/>
        <v>-54</v>
      </c>
      <c r="K29" s="33">
        <f t="shared" si="4"/>
        <v>-54</v>
      </c>
      <c r="L29" s="33">
        <f t="shared" si="4"/>
        <v>-54</v>
      </c>
    </row>
    <row r="30" spans="1:23" s="25" customFormat="1" ht="12.75">
      <c r="A30" s="1" t="s">
        <v>18</v>
      </c>
      <c r="B30" s="23"/>
      <c r="C30" s="13">
        <f>-$B$6*'1.PropertyValue'!C$21</f>
        <v>-31.499999999999996</v>
      </c>
      <c r="D30" s="13">
        <f>-$B$6*'1.PropertyValue'!D$21</f>
        <v>-31.499999999999996</v>
      </c>
      <c r="E30" s="13">
        <f>-$B$6*'1.PropertyValue'!E$21</f>
        <v>-31.499999999999996</v>
      </c>
      <c r="F30" s="13">
        <f>-$B$6*'1.PropertyValue'!F$21</f>
        <v>-31.499999999999996</v>
      </c>
      <c r="G30" s="13">
        <f>-$B$6*'1.PropertyValue'!G$21</f>
        <v>-31.499999999999996</v>
      </c>
      <c r="H30" s="13">
        <f>-$B$6*'1.PropertyValue'!H$21</f>
        <v>-31.499999999999996</v>
      </c>
      <c r="I30" s="13">
        <f>-$B$6*'1.PropertyValue'!I$21</f>
        <v>-31.499999999999996</v>
      </c>
      <c r="J30" s="13">
        <f>-$B$6*'1.PropertyValue'!J$21</f>
        <v>-31.499999999999996</v>
      </c>
      <c r="K30" s="13">
        <f>-$B$6*'1.PropertyValue'!K$21</f>
        <v>-31.499999999999996</v>
      </c>
      <c r="L30" s="13">
        <f>-$B$6*'1.PropertyValue'!L$21</f>
        <v>-31.499999999999996</v>
      </c>
      <c r="M30" s="26"/>
      <c r="N30" s="26"/>
      <c r="O30" s="26"/>
      <c r="P30" s="26"/>
      <c r="Q30" s="26"/>
      <c r="R30" s="26"/>
      <c r="S30" s="26"/>
      <c r="T30" s="26"/>
      <c r="U30" s="26"/>
      <c r="V30" s="27"/>
      <c r="W30" s="27"/>
    </row>
    <row r="31" spans="1:12" s="33" customFormat="1" ht="12.75">
      <c r="A31" s="32" t="s">
        <v>88</v>
      </c>
      <c r="C31" s="33">
        <f>C21-C20</f>
        <v>18.9</v>
      </c>
      <c r="D31" s="33">
        <f aca="true" t="shared" si="5" ref="D31:L31">D21-D20</f>
        <v>18.9</v>
      </c>
      <c r="E31" s="33">
        <f t="shared" si="5"/>
        <v>18.9</v>
      </c>
      <c r="F31" s="33">
        <f t="shared" si="5"/>
        <v>18.9</v>
      </c>
      <c r="G31" s="33">
        <f t="shared" si="5"/>
        <v>18.9</v>
      </c>
      <c r="H31" s="33">
        <f t="shared" si="5"/>
        <v>18.9</v>
      </c>
      <c r="I31" s="33">
        <f t="shared" si="5"/>
        <v>18.9</v>
      </c>
      <c r="J31" s="33">
        <f t="shared" si="5"/>
        <v>18.9</v>
      </c>
      <c r="K31" s="33">
        <f t="shared" si="5"/>
        <v>18.9</v>
      </c>
      <c r="L31" s="33">
        <f t="shared" si="5"/>
        <v>18.899999999999977</v>
      </c>
    </row>
    <row r="32" spans="1:12" s="33" customFormat="1" ht="12.75">
      <c r="A32" s="1" t="s">
        <v>56</v>
      </c>
      <c r="C32" s="33">
        <f>SUM(C27:C31)</f>
        <v>31.476923076923082</v>
      </c>
      <c r="D32" s="33">
        <f aca="true" t="shared" si="6" ref="D32:L32">SUM(D27:D31)</f>
        <v>31.476923076923082</v>
      </c>
      <c r="E32" s="33">
        <f t="shared" si="6"/>
        <v>31.476923076923082</v>
      </c>
      <c r="F32" s="33">
        <f t="shared" si="6"/>
        <v>31.476923076923082</v>
      </c>
      <c r="G32" s="33">
        <f t="shared" si="6"/>
        <v>31.476923076923082</v>
      </c>
      <c r="H32" s="33">
        <f t="shared" si="6"/>
        <v>31.476923076923082</v>
      </c>
      <c r="I32" s="33">
        <f t="shared" si="6"/>
        <v>31.476923076923082</v>
      </c>
      <c r="J32" s="33">
        <f t="shared" si="6"/>
        <v>31.476923076923082</v>
      </c>
      <c r="K32" s="33">
        <f t="shared" si="6"/>
        <v>31.476923076923082</v>
      </c>
      <c r="L32" s="33">
        <f t="shared" si="6"/>
        <v>-26.215384615384636</v>
      </c>
    </row>
    <row r="33" spans="1:12" s="33" customFormat="1" ht="12.75">
      <c r="A33" s="1" t="s">
        <v>57</v>
      </c>
      <c r="B33" s="17">
        <f>NPV('1.PropertyValue'!B$16,C33:L33)</f>
        <v>180.1305953129467</v>
      </c>
      <c r="C33" s="13">
        <f>(1-'1.PropertyValue'!$B$9)*C32</f>
        <v>26.75538461538462</v>
      </c>
      <c r="D33" s="13">
        <f>(1-'1.PropertyValue'!$B$9)*D32</f>
        <v>26.75538461538462</v>
      </c>
      <c r="E33" s="13">
        <f>(1-'1.PropertyValue'!$B$9)*E32</f>
        <v>26.75538461538462</v>
      </c>
      <c r="F33" s="13">
        <f>(1-'1.PropertyValue'!$B$9)*F32</f>
        <v>26.75538461538462</v>
      </c>
      <c r="G33" s="13">
        <f>(1-'1.PropertyValue'!$B$9)*G32</f>
        <v>26.75538461538462</v>
      </c>
      <c r="H33" s="13">
        <f>(1-'1.PropertyValue'!$B$9)*H32</f>
        <v>26.75538461538462</v>
      </c>
      <c r="I33" s="13">
        <f>(1-'1.PropertyValue'!$B$9)*I32</f>
        <v>26.75538461538462</v>
      </c>
      <c r="J33" s="13">
        <f>(1-'1.PropertyValue'!$B$9)*J32</f>
        <v>26.75538461538462</v>
      </c>
      <c r="K33" s="13">
        <f>(1-'1.PropertyValue'!$B$9)*K32</f>
        <v>26.75538461538462</v>
      </c>
      <c r="L33" s="13">
        <f>(1-'1.PropertyValue'!$B$9)*L32</f>
        <v>-22.28307692307694</v>
      </c>
    </row>
    <row r="34" spans="1:23" s="25" customFormat="1" ht="12.75">
      <c r="A34" s="15" t="s">
        <v>89</v>
      </c>
      <c r="B34" s="17">
        <f>B24+B26-B33</f>
        <v>88.08165257300499</v>
      </c>
      <c r="C34" s="40"/>
      <c r="D34" s="41"/>
      <c r="E34" s="35"/>
      <c r="L34" s="13">
        <f>L$44-B19-MAX(0,(L$44-B19-B26))*'1.PropertyValue'!B$9</f>
        <v>300</v>
      </c>
      <c r="N34" s="26"/>
      <c r="O34" s="26"/>
      <c r="P34" s="26"/>
      <c r="Q34" s="26"/>
      <c r="R34" s="26"/>
      <c r="S34" s="26"/>
      <c r="T34" s="26"/>
      <c r="U34" s="26"/>
      <c r="V34" s="27"/>
      <c r="W34" s="27"/>
    </row>
    <row r="35" spans="1:23" s="25" customFormat="1" ht="12.75">
      <c r="A35" s="36" t="s">
        <v>91</v>
      </c>
      <c r="B35" s="24">
        <f>SUM(B33:B34)-B26</f>
        <v>-31.787752114048317</v>
      </c>
      <c r="M35" s="26"/>
      <c r="N35" s="26"/>
      <c r="O35" s="26"/>
      <c r="P35" s="26"/>
      <c r="Q35" s="26"/>
      <c r="R35" s="26"/>
      <c r="S35" s="26"/>
      <c r="T35" s="26"/>
      <c r="U35" s="26"/>
      <c r="V35" s="27"/>
      <c r="W35" s="27"/>
    </row>
    <row r="36" spans="1:23" s="25" customFormat="1" ht="12.75">
      <c r="A36" s="45">
        <f>IRR(B36:L36)</f>
        <v>0.07778151562633218</v>
      </c>
      <c r="B36" s="23">
        <f>-B26</f>
        <v>-300</v>
      </c>
      <c r="C36" s="25">
        <f>C33</f>
        <v>26.75538461538462</v>
      </c>
      <c r="D36" s="25">
        <f aca="true" t="shared" si="7" ref="D36:K36">D33</f>
        <v>26.75538461538462</v>
      </c>
      <c r="E36" s="25">
        <f t="shared" si="7"/>
        <v>26.75538461538462</v>
      </c>
      <c r="F36" s="25">
        <f t="shared" si="7"/>
        <v>26.75538461538462</v>
      </c>
      <c r="G36" s="25">
        <f t="shared" si="7"/>
        <v>26.75538461538462</v>
      </c>
      <c r="H36" s="25">
        <f t="shared" si="7"/>
        <v>26.75538461538462</v>
      </c>
      <c r="I36" s="25">
        <f t="shared" si="7"/>
        <v>26.75538461538462</v>
      </c>
      <c r="J36" s="25">
        <f t="shared" si="7"/>
        <v>26.75538461538462</v>
      </c>
      <c r="K36" s="25">
        <f t="shared" si="7"/>
        <v>26.75538461538462</v>
      </c>
      <c r="L36" s="25">
        <f>L33+L34</f>
        <v>277.7169230769231</v>
      </c>
      <c r="M36" s="26"/>
      <c r="N36" s="26"/>
      <c r="O36" s="26"/>
      <c r="P36" s="26"/>
      <c r="Q36" s="26"/>
      <c r="R36" s="26"/>
      <c r="S36" s="26"/>
      <c r="T36" s="26"/>
      <c r="U36" s="26"/>
      <c r="V36" s="27"/>
      <c r="W36" s="27"/>
    </row>
    <row r="37" spans="1:23" ht="12.75">
      <c r="A37" s="3" t="s">
        <v>22</v>
      </c>
      <c r="B37" s="6"/>
      <c r="C37" s="16"/>
      <c r="D37" s="2"/>
      <c r="E37" s="2"/>
      <c r="F37" s="2"/>
      <c r="G37" s="2"/>
      <c r="H37" s="2"/>
      <c r="I37" s="2"/>
      <c r="J37" s="2"/>
      <c r="K37" s="2"/>
      <c r="L37" s="2"/>
      <c r="M37" s="2"/>
      <c r="N37" s="2"/>
      <c r="O37" s="2"/>
      <c r="P37" s="2"/>
      <c r="Q37" s="2"/>
      <c r="R37" s="2"/>
      <c r="S37" s="2"/>
      <c r="T37" s="2"/>
      <c r="U37" s="2"/>
      <c r="V37"/>
      <c r="W37"/>
    </row>
    <row r="38" spans="1:23" ht="12.75">
      <c r="A38" s="11" t="s">
        <v>64</v>
      </c>
      <c r="N38" s="2"/>
      <c r="O38" s="2"/>
      <c r="P38" s="2"/>
      <c r="Q38" s="2"/>
      <c r="R38" s="2"/>
      <c r="S38" s="2"/>
      <c r="T38" s="2"/>
      <c r="U38" s="2"/>
      <c r="V38"/>
      <c r="W38"/>
    </row>
    <row r="39" spans="1:23" ht="12.75">
      <c r="A39" s="1" t="s">
        <v>23</v>
      </c>
      <c r="B39" s="17">
        <f>'1.PropertyValue'!B12/'1.PropertyValue'!B17</f>
        <v>1200</v>
      </c>
      <c r="V39"/>
      <c r="W39"/>
    </row>
    <row r="40" spans="1:23" ht="12.75">
      <c r="A40" s="3" t="s">
        <v>24</v>
      </c>
      <c r="C40" s="13">
        <f>B39*'1.PropertyValue'!B10/39</f>
        <v>23.076923076923077</v>
      </c>
      <c r="D40" s="13">
        <f aca="true" t="shared" si="8" ref="D40:K40">C40</f>
        <v>23.076923076923077</v>
      </c>
      <c r="E40" s="13">
        <f t="shared" si="8"/>
        <v>23.076923076923077</v>
      </c>
      <c r="F40" s="13">
        <f t="shared" si="8"/>
        <v>23.076923076923077</v>
      </c>
      <c r="G40" s="13">
        <f t="shared" si="8"/>
        <v>23.076923076923077</v>
      </c>
      <c r="H40" s="13">
        <f t="shared" si="8"/>
        <v>23.076923076923077</v>
      </c>
      <c r="I40" s="13">
        <f t="shared" si="8"/>
        <v>23.076923076923077</v>
      </c>
      <c r="J40" s="13">
        <f t="shared" si="8"/>
        <v>23.076923076923077</v>
      </c>
      <c r="K40" s="13">
        <f t="shared" si="8"/>
        <v>23.076923076923077</v>
      </c>
      <c r="L40" s="13">
        <f>K40-10*K40</f>
        <v>-207.6923076923077</v>
      </c>
      <c r="V40"/>
      <c r="W40"/>
    </row>
    <row r="41" spans="1:23" ht="12.75">
      <c r="A41" s="3" t="s">
        <v>25</v>
      </c>
      <c r="C41" s="13">
        <f>C40*$B6</f>
        <v>8.076923076923077</v>
      </c>
      <c r="D41" s="13">
        <f aca="true" t="shared" si="9" ref="D41:K41">D40*$B6</f>
        <v>8.076923076923077</v>
      </c>
      <c r="E41" s="13">
        <f t="shared" si="9"/>
        <v>8.076923076923077</v>
      </c>
      <c r="F41" s="13">
        <f t="shared" si="9"/>
        <v>8.076923076923077</v>
      </c>
      <c r="G41" s="13">
        <f t="shared" si="9"/>
        <v>8.076923076923077</v>
      </c>
      <c r="H41" s="13">
        <f t="shared" si="9"/>
        <v>8.076923076923077</v>
      </c>
      <c r="I41" s="13">
        <f t="shared" si="9"/>
        <v>8.076923076923077</v>
      </c>
      <c r="J41" s="13">
        <f t="shared" si="9"/>
        <v>8.076923076923077</v>
      </c>
      <c r="K41" s="13">
        <f t="shared" si="9"/>
        <v>8.076923076923077</v>
      </c>
      <c r="L41" s="13">
        <f>J40*$B6-10*J40*'1.PropertyValue'!B8</f>
        <v>-49.61538461538461</v>
      </c>
      <c r="V41"/>
      <c r="W41"/>
    </row>
    <row r="42" spans="1:23" ht="12.75">
      <c r="A42" s="3" t="s">
        <v>26</v>
      </c>
      <c r="C42" s="13"/>
      <c r="D42" s="13"/>
      <c r="E42" s="13"/>
      <c r="F42" s="13"/>
      <c r="G42" s="13"/>
      <c r="H42" s="13"/>
      <c r="I42" s="13"/>
      <c r="J42" s="13"/>
      <c r="K42" s="13"/>
      <c r="L42" s="13">
        <f>'1.PropertyValue'!L24</f>
        <v>1200</v>
      </c>
      <c r="V42"/>
      <c r="W42"/>
    </row>
    <row r="43" spans="1:23" ht="12.75">
      <c r="A43" s="1" t="s">
        <v>27</v>
      </c>
      <c r="C43" s="13"/>
      <c r="D43" s="13"/>
      <c r="E43" s="13"/>
      <c r="F43" s="13"/>
      <c r="G43" s="13"/>
      <c r="H43" s="13"/>
      <c r="I43" s="13"/>
      <c r="J43" s="13"/>
      <c r="K43" s="13"/>
      <c r="L43" s="13">
        <f>'1.PropertyValue'!B9*MAX(0,(L42-B39))</f>
        <v>0</v>
      </c>
      <c r="V43"/>
      <c r="W43"/>
    </row>
    <row r="44" spans="1:23" ht="12.75">
      <c r="A44" s="1" t="s">
        <v>28</v>
      </c>
      <c r="C44" s="13"/>
      <c r="D44" s="13"/>
      <c r="E44" s="13"/>
      <c r="F44" s="13"/>
      <c r="G44" s="13"/>
      <c r="H44" s="13"/>
      <c r="I44" s="13"/>
      <c r="J44" s="13"/>
      <c r="K44" s="13"/>
      <c r="L44" s="13">
        <f>L42-L43</f>
        <v>1200</v>
      </c>
      <c r="V44"/>
      <c r="W44"/>
    </row>
    <row r="45" spans="1:23" ht="12.75">
      <c r="A45" s="3" t="s">
        <v>29</v>
      </c>
      <c r="B45" s="17">
        <f aca="true" t="shared" si="10" ref="B45:L45">B39-B41-B44</f>
        <v>1200</v>
      </c>
      <c r="C45" s="13">
        <f t="shared" si="10"/>
        <v>-8.076923076923077</v>
      </c>
      <c r="D45" s="13">
        <f t="shared" si="10"/>
        <v>-8.076923076923077</v>
      </c>
      <c r="E45" s="13">
        <f t="shared" si="10"/>
        <v>-8.076923076923077</v>
      </c>
      <c r="F45" s="13">
        <f t="shared" si="10"/>
        <v>-8.076923076923077</v>
      </c>
      <c r="G45" s="13">
        <f t="shared" si="10"/>
        <v>-8.076923076923077</v>
      </c>
      <c r="H45" s="13">
        <f t="shared" si="10"/>
        <v>-8.076923076923077</v>
      </c>
      <c r="I45" s="13">
        <f t="shared" si="10"/>
        <v>-8.076923076923077</v>
      </c>
      <c r="J45" s="13">
        <f t="shared" si="10"/>
        <v>-8.076923076923077</v>
      </c>
      <c r="K45" s="13">
        <f t="shared" si="10"/>
        <v>-8.076923076923077</v>
      </c>
      <c r="L45" s="13">
        <f t="shared" si="10"/>
        <v>-1150.3846153846155</v>
      </c>
      <c r="V45"/>
      <c r="W45"/>
    </row>
    <row r="46" spans="1:23" ht="12.75">
      <c r="A46" s="4" t="s">
        <v>128</v>
      </c>
      <c r="B46" s="17">
        <f>-B39+NPV('1.PropertyValue'!B16,'4.Buy&amp;Borrow_vs_Lease'!C41:L41)+PV('1.PropertyValue'!B34,10,0,-'4.Buy&amp;Borrow_vs_Lease'!L44)</f>
        <v>-505.6226915173381</v>
      </c>
      <c r="C46" s="13"/>
      <c r="D46" s="13"/>
      <c r="E46" s="13"/>
      <c r="F46" s="13"/>
      <c r="G46" s="13"/>
      <c r="H46" s="13"/>
      <c r="I46" s="13"/>
      <c r="J46" s="13"/>
      <c r="K46" s="13"/>
      <c r="L46" s="13"/>
      <c r="V46"/>
      <c r="W46"/>
    </row>
    <row r="47" spans="1:23" ht="12.75">
      <c r="A47" s="4" t="s">
        <v>130</v>
      </c>
      <c r="C47" s="13">
        <f>C41*(1-'1.PropertyValue'!$B9)</f>
        <v>6.865384615384615</v>
      </c>
      <c r="D47" s="13">
        <f>D41*(1-'1.PropertyValue'!$B9)</f>
        <v>6.865384615384615</v>
      </c>
      <c r="E47" s="13">
        <f>E41*(1-'1.PropertyValue'!$B9)</f>
        <v>6.865384615384615</v>
      </c>
      <c r="F47" s="13">
        <f>F41*(1-'1.PropertyValue'!$B9)</f>
        <v>6.865384615384615</v>
      </c>
      <c r="G47" s="13">
        <f>G41*(1-'1.PropertyValue'!$B9)</f>
        <v>6.865384615384615</v>
      </c>
      <c r="H47" s="13">
        <f>H41*(1-'1.PropertyValue'!$B9)</f>
        <v>6.865384615384615</v>
      </c>
      <c r="I47" s="13">
        <f>I41*(1-'1.PropertyValue'!$B9)</f>
        <v>6.865384615384615</v>
      </c>
      <c r="J47" s="13">
        <f>J41*(1-'1.PropertyValue'!$B9)</f>
        <v>6.865384615384615</v>
      </c>
      <c r="K47" s="13">
        <f>K41*(1-'1.PropertyValue'!$B9)</f>
        <v>6.865384615384615</v>
      </c>
      <c r="L47" s="13">
        <f>L41*(1-'1.PropertyValue'!$B9)</f>
        <v>-42.17307692307692</v>
      </c>
      <c r="V47"/>
      <c r="W47"/>
    </row>
    <row r="48" spans="1:23" ht="12.75">
      <c r="A48" s="4" t="s">
        <v>131</v>
      </c>
      <c r="C48" s="13"/>
      <c r="D48" s="13"/>
      <c r="E48" s="13"/>
      <c r="F48" s="13"/>
      <c r="G48" s="13"/>
      <c r="H48" s="13"/>
      <c r="I48" s="13"/>
      <c r="J48" s="13"/>
      <c r="K48" s="13"/>
      <c r="L48" s="13">
        <f>L44-MAX(0,L44-B39)*'1.PropertyValue'!B9</f>
        <v>1200</v>
      </c>
      <c r="V48"/>
      <c r="W48"/>
    </row>
    <row r="49" spans="1:23" ht="12.75">
      <c r="A49" s="4" t="s">
        <v>132</v>
      </c>
      <c r="B49" s="17">
        <f>-B39+NPV('1.PropertyValue'!B16,'4.Buy&amp;Borrow_vs_Lease'!C47:L47)+PV('1.PropertyValue'!B34,10,0,-'4.Buy&amp;Borrow_vs_Lease'!L48)</f>
        <v>-509.63680282973087</v>
      </c>
      <c r="C49" s="13"/>
      <c r="D49" s="13"/>
      <c r="E49" s="13"/>
      <c r="F49" s="13"/>
      <c r="G49" s="13"/>
      <c r="H49" s="13"/>
      <c r="I49" s="13"/>
      <c r="J49" s="13"/>
      <c r="K49" s="13"/>
      <c r="L49" s="13"/>
      <c r="V49"/>
      <c r="W49"/>
    </row>
    <row r="50" spans="1:23" ht="12.75">
      <c r="A50" s="4"/>
      <c r="C50" s="13"/>
      <c r="D50" s="13"/>
      <c r="E50" s="13"/>
      <c r="F50" s="13"/>
      <c r="G50" s="13"/>
      <c r="H50" s="13"/>
      <c r="I50" s="13"/>
      <c r="J50" s="13"/>
      <c r="K50" s="13"/>
      <c r="L50" s="13"/>
      <c r="V50"/>
      <c r="W50"/>
    </row>
    <row r="51" spans="1:23" ht="12.75">
      <c r="A51" s="11" t="s">
        <v>65</v>
      </c>
      <c r="C51" s="2"/>
      <c r="D51" s="2"/>
      <c r="E51" s="2"/>
      <c r="F51" s="2"/>
      <c r="G51" s="2"/>
      <c r="H51" s="2"/>
      <c r="I51" s="2"/>
      <c r="J51" s="2"/>
      <c r="K51" s="2"/>
      <c r="L51" s="2"/>
      <c r="V51"/>
      <c r="W51"/>
    </row>
    <row r="52" spans="1:23" ht="12.75">
      <c r="A52" s="4" t="s">
        <v>30</v>
      </c>
      <c r="C52" s="1">
        <f>'1.PropertyValue'!C21</f>
        <v>90</v>
      </c>
      <c r="D52" s="1">
        <f>'1.PropertyValue'!D21</f>
        <v>90</v>
      </c>
      <c r="E52" s="1">
        <f>'1.PropertyValue'!E21</f>
        <v>90</v>
      </c>
      <c r="F52" s="1">
        <f>'1.PropertyValue'!F21</f>
        <v>90</v>
      </c>
      <c r="G52" s="1">
        <f>'1.PropertyValue'!G21</f>
        <v>90</v>
      </c>
      <c r="H52" s="1">
        <f>'1.PropertyValue'!H21</f>
        <v>90</v>
      </c>
      <c r="I52" s="1">
        <f>'1.PropertyValue'!I21</f>
        <v>90</v>
      </c>
      <c r="J52" s="1">
        <f>'1.PropertyValue'!J21</f>
        <v>90</v>
      </c>
      <c r="K52" s="1">
        <f>'1.PropertyValue'!K21</f>
        <v>90</v>
      </c>
      <c r="L52" s="1">
        <f>'1.PropertyValue'!L21</f>
        <v>90</v>
      </c>
      <c r="V52"/>
      <c r="W52"/>
    </row>
    <row r="53" spans="1:23" ht="12.75">
      <c r="A53" s="3" t="s">
        <v>31</v>
      </c>
      <c r="C53" s="1">
        <f>$B6*'1.PropertyValue'!C21</f>
        <v>31.499999999999996</v>
      </c>
      <c r="D53" s="1">
        <f>$B6*'1.PropertyValue'!D21</f>
        <v>31.499999999999996</v>
      </c>
      <c r="E53" s="1">
        <f>$B6*'1.PropertyValue'!E21</f>
        <v>31.499999999999996</v>
      </c>
      <c r="F53" s="1">
        <f>$B6*'1.PropertyValue'!F21</f>
        <v>31.499999999999996</v>
      </c>
      <c r="G53" s="1">
        <f>$B6*'1.PropertyValue'!G21</f>
        <v>31.499999999999996</v>
      </c>
      <c r="H53" s="1">
        <f>$B6*'1.PropertyValue'!H21</f>
        <v>31.499999999999996</v>
      </c>
      <c r="I53" s="1">
        <f>$B6*'1.PropertyValue'!I21</f>
        <v>31.499999999999996</v>
      </c>
      <c r="J53" s="1">
        <f>$B6*'1.PropertyValue'!J21</f>
        <v>31.499999999999996</v>
      </c>
      <c r="K53" s="1">
        <f>$B6*'1.PropertyValue'!K21</f>
        <v>31.499999999999996</v>
      </c>
      <c r="L53" s="1">
        <f>$B6*'1.PropertyValue'!L21</f>
        <v>31.499999999999996</v>
      </c>
      <c r="V53"/>
      <c r="W53"/>
    </row>
    <row r="54" spans="1:23" ht="12.75">
      <c r="A54" s="3" t="s">
        <v>32</v>
      </c>
      <c r="C54" s="1">
        <f aca="true" t="shared" si="11" ref="C54:L54">+C52-C53</f>
        <v>58.5</v>
      </c>
      <c r="D54" s="1">
        <f t="shared" si="11"/>
        <v>58.5</v>
      </c>
      <c r="E54" s="1">
        <f t="shared" si="11"/>
        <v>58.5</v>
      </c>
      <c r="F54" s="1">
        <f t="shared" si="11"/>
        <v>58.5</v>
      </c>
      <c r="G54" s="1">
        <f t="shared" si="11"/>
        <v>58.5</v>
      </c>
      <c r="H54" s="1">
        <f t="shared" si="11"/>
        <v>58.5</v>
      </c>
      <c r="I54" s="1">
        <f t="shared" si="11"/>
        <v>58.5</v>
      </c>
      <c r="J54" s="1">
        <f t="shared" si="11"/>
        <v>58.5</v>
      </c>
      <c r="K54" s="1">
        <f t="shared" si="11"/>
        <v>58.5</v>
      </c>
      <c r="L54" s="1">
        <f t="shared" si="11"/>
        <v>58.5</v>
      </c>
      <c r="V54"/>
      <c r="W54"/>
    </row>
    <row r="55" spans="1:2" ht="12.75">
      <c r="A55" s="4" t="s">
        <v>129</v>
      </c>
      <c r="B55" s="17">
        <f>-NPV('1.PropertyValue'!B16,'4.Buy&amp;Borrow_vs_Lease'!C54:L54)</f>
        <v>-462.8940133609448</v>
      </c>
    </row>
    <row r="56" spans="1:12" ht="12.75">
      <c r="A56" s="4" t="s">
        <v>133</v>
      </c>
      <c r="C56" s="1">
        <f>(1-'1.PropertyValue'!$B9)*'4.Buy&amp;Borrow_vs_Lease'!C54</f>
        <v>49.725</v>
      </c>
      <c r="D56" s="1">
        <f>(1-'1.PropertyValue'!$B9)*'4.Buy&amp;Borrow_vs_Lease'!D54</f>
        <v>49.725</v>
      </c>
      <c r="E56" s="1">
        <f>(1-'1.PropertyValue'!$B9)*'4.Buy&amp;Borrow_vs_Lease'!E54</f>
        <v>49.725</v>
      </c>
      <c r="F56" s="1">
        <f>(1-'1.PropertyValue'!$B9)*'4.Buy&amp;Borrow_vs_Lease'!F54</f>
        <v>49.725</v>
      </c>
      <c r="G56" s="1">
        <f>(1-'1.PropertyValue'!$B9)*'4.Buy&amp;Borrow_vs_Lease'!G54</f>
        <v>49.725</v>
      </c>
      <c r="H56" s="1">
        <f>(1-'1.PropertyValue'!$B9)*'4.Buy&amp;Borrow_vs_Lease'!H54</f>
        <v>49.725</v>
      </c>
      <c r="I56" s="1">
        <f>(1-'1.PropertyValue'!$B9)*'4.Buy&amp;Borrow_vs_Lease'!I54</f>
        <v>49.725</v>
      </c>
      <c r="J56" s="1">
        <f>(1-'1.PropertyValue'!$B9)*'4.Buy&amp;Borrow_vs_Lease'!J54</f>
        <v>49.725</v>
      </c>
      <c r="K56" s="1">
        <f>(1-'1.PropertyValue'!$B9)*'4.Buy&amp;Borrow_vs_Lease'!K54</f>
        <v>49.725</v>
      </c>
      <c r="L56" s="1">
        <f>(1-'1.PropertyValue'!$B9)*'4.Buy&amp;Borrow_vs_Lease'!L54</f>
        <v>49.725</v>
      </c>
    </row>
    <row r="57" spans="1:12" ht="12.75">
      <c r="A57" s="12" t="s">
        <v>136</v>
      </c>
      <c r="B57" s="23">
        <f>-NPV('1.PropertyValue'!B16,'4.Buy&amp;Borrow_vs_Lease'!C56:L56)</f>
        <v>-393.4599113568032</v>
      </c>
      <c r="C57" s="19"/>
      <c r="D57" s="13"/>
      <c r="E57" s="13"/>
      <c r="F57" s="13"/>
      <c r="G57" s="13"/>
      <c r="H57" s="13"/>
      <c r="I57" s="13"/>
      <c r="J57" s="13"/>
      <c r="K57" s="13"/>
      <c r="L57" s="13"/>
    </row>
    <row r="58" spans="4:12" ht="12.75">
      <c r="D58" s="13"/>
      <c r="E58" s="13"/>
      <c r="F58" s="13"/>
      <c r="G58" s="13"/>
      <c r="H58" s="13"/>
      <c r="I58" s="13"/>
      <c r="J58" s="13"/>
      <c r="K58" s="13"/>
      <c r="L58" s="13"/>
    </row>
    <row r="59" spans="1:2" ht="12.75">
      <c r="A59" s="1" t="s">
        <v>134</v>
      </c>
      <c r="B59" s="17">
        <f>B46-B55</f>
        <v>-42.7286781563933</v>
      </c>
    </row>
    <row r="60" spans="1:2" ht="12.75">
      <c r="A60" s="46" t="s">
        <v>135</v>
      </c>
      <c r="B60" s="24">
        <f>B49-B57</f>
        <v>-116.17689147292765</v>
      </c>
    </row>
    <row r="64" ht="12.75">
      <c r="B64" s="1"/>
    </row>
    <row r="65" ht="12.75">
      <c r="B65" s="1"/>
    </row>
    <row r="66" ht="12.75">
      <c r="B66" s="1"/>
    </row>
    <row r="67" spans="3:12" ht="12.75">
      <c r="C67" s="13"/>
      <c r="D67" s="13"/>
      <c r="E67" s="13"/>
      <c r="F67" s="13"/>
      <c r="G67" s="13"/>
      <c r="H67" s="13"/>
      <c r="I67" s="13"/>
      <c r="J67" s="13"/>
      <c r="K67" s="13"/>
      <c r="L67" s="13"/>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Geltner</dc:creator>
  <cp:keywords/>
  <dc:description/>
  <cp:lastModifiedBy>Brian Brogaard</cp:lastModifiedBy>
  <dcterms:created xsi:type="dcterms:W3CDTF">1998-03-01T23:49:22Z</dcterms:created>
  <dcterms:modified xsi:type="dcterms:W3CDTF">2021-01-22T17:03:51Z</dcterms:modified>
  <cp:category/>
  <cp:version/>
  <cp:contentType/>
  <cp:contentStatus/>
</cp:coreProperties>
</file>